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zivatel\Desktop\MOJE\DS Hroznětice\"/>
    </mc:Choice>
  </mc:AlternateContent>
  <xr:revisionPtr revIDLastSave="0" documentId="13_ncr:1_{711EC3AD-06BF-44D1-B0B9-42E90AF93B8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rycí list rozpočtu" sheetId="1" r:id="rId1"/>
    <sheet name="VORN" sheetId="2" state="hidden" r:id="rId2"/>
    <sheet name="Stavební rozpočet" sheetId="3" r:id="rId3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1143" i="3" l="1"/>
  <c r="BF1143" i="3"/>
  <c r="BD1143" i="3"/>
  <c r="AP1143" i="3"/>
  <c r="AO1143" i="3"/>
  <c r="AK1143" i="3"/>
  <c r="AJ1143" i="3"/>
  <c r="AS1142" i="3" s="1"/>
  <c r="AH1143" i="3"/>
  <c r="AE1143" i="3"/>
  <c r="AD1143" i="3"/>
  <c r="AC1143" i="3"/>
  <c r="AB1143" i="3"/>
  <c r="Z1143" i="3"/>
  <c r="J1143" i="3"/>
  <c r="AT1142" i="3"/>
  <c r="BJ1140" i="3"/>
  <c r="BH1140" i="3"/>
  <c r="AF1140" i="3" s="1"/>
  <c r="BF1140" i="3"/>
  <c r="BD1140" i="3"/>
  <c r="AX1140" i="3"/>
  <c r="AW1140" i="3"/>
  <c r="AP1140" i="3"/>
  <c r="BI1140" i="3" s="1"/>
  <c r="AG1140" i="3" s="1"/>
  <c r="AO1140" i="3"/>
  <c r="H1140" i="3" s="1"/>
  <c r="AK1140" i="3"/>
  <c r="AJ1140" i="3"/>
  <c r="AH1140" i="3"/>
  <c r="AE1140" i="3"/>
  <c r="AD1140" i="3"/>
  <c r="AC1140" i="3"/>
  <c r="AB1140" i="3"/>
  <c r="Z1140" i="3"/>
  <c r="J1140" i="3"/>
  <c r="AL1140" i="3" s="1"/>
  <c r="I1140" i="3"/>
  <c r="BJ1138" i="3"/>
  <c r="BH1138" i="3"/>
  <c r="AF1138" i="3" s="1"/>
  <c r="BF1138" i="3"/>
  <c r="BD1138" i="3"/>
  <c r="AP1138" i="3"/>
  <c r="AO1138" i="3"/>
  <c r="AK1138" i="3"/>
  <c r="AJ1138" i="3"/>
  <c r="AH1138" i="3"/>
  <c r="AE1138" i="3"/>
  <c r="AD1138" i="3"/>
  <c r="AC1138" i="3"/>
  <c r="AB1138" i="3"/>
  <c r="Z1138" i="3"/>
  <c r="J1138" i="3"/>
  <c r="AL1138" i="3" s="1"/>
  <c r="BJ1136" i="3"/>
  <c r="BI1136" i="3"/>
  <c r="AG1136" i="3" s="1"/>
  <c r="BF1136" i="3"/>
  <c r="BD1136" i="3"/>
  <c r="AW1136" i="3"/>
  <c r="AP1136" i="3"/>
  <c r="AO1136" i="3"/>
  <c r="BH1136" i="3" s="1"/>
  <c r="AK1136" i="3"/>
  <c r="AJ1136" i="3"/>
  <c r="AH1136" i="3"/>
  <c r="AF1136" i="3"/>
  <c r="AE1136" i="3"/>
  <c r="AD1136" i="3"/>
  <c r="AC1136" i="3"/>
  <c r="AB1136" i="3"/>
  <c r="Z1136" i="3"/>
  <c r="J1136" i="3"/>
  <c r="AL1136" i="3" s="1"/>
  <c r="H1136" i="3"/>
  <c r="BJ1134" i="3"/>
  <c r="BF1134" i="3"/>
  <c r="BD1134" i="3"/>
  <c r="AX1134" i="3"/>
  <c r="AW1134" i="3"/>
  <c r="BC1134" i="3" s="1"/>
  <c r="AV1134" i="3"/>
  <c r="AP1134" i="3"/>
  <c r="BI1134" i="3" s="1"/>
  <c r="AO1134" i="3"/>
  <c r="BH1134" i="3" s="1"/>
  <c r="AL1134" i="3"/>
  <c r="AK1134" i="3"/>
  <c r="AJ1134" i="3"/>
  <c r="AH1134" i="3"/>
  <c r="AG1134" i="3"/>
  <c r="AF1134" i="3"/>
  <c r="AE1134" i="3"/>
  <c r="AD1134" i="3"/>
  <c r="AC1134" i="3"/>
  <c r="AB1134" i="3"/>
  <c r="Z1134" i="3"/>
  <c r="J1134" i="3"/>
  <c r="I1134" i="3"/>
  <c r="H1134" i="3"/>
  <c r="BJ1131" i="3"/>
  <c r="BF1131" i="3"/>
  <c r="BD1131" i="3"/>
  <c r="AX1131" i="3"/>
  <c r="AP1131" i="3"/>
  <c r="BI1131" i="3" s="1"/>
  <c r="AG1131" i="3" s="1"/>
  <c r="AO1131" i="3"/>
  <c r="AK1131" i="3"/>
  <c r="AJ1131" i="3"/>
  <c r="AH1131" i="3"/>
  <c r="AE1131" i="3"/>
  <c r="AD1131" i="3"/>
  <c r="AC1131" i="3"/>
  <c r="AB1131" i="3"/>
  <c r="Z1131" i="3"/>
  <c r="J1131" i="3"/>
  <c r="AL1131" i="3" s="1"/>
  <c r="I1131" i="3"/>
  <c r="BJ1128" i="3"/>
  <c r="BI1128" i="3"/>
  <c r="AG1128" i="3" s="1"/>
  <c r="BH1128" i="3"/>
  <c r="AF1128" i="3" s="1"/>
  <c r="BF1128" i="3"/>
  <c r="BD1128" i="3"/>
  <c r="AX1128" i="3"/>
  <c r="AP1128" i="3"/>
  <c r="I1128" i="3" s="1"/>
  <c r="AO1128" i="3"/>
  <c r="AK1128" i="3"/>
  <c r="AJ1128" i="3"/>
  <c r="AH1128" i="3"/>
  <c r="AE1128" i="3"/>
  <c r="AD1128" i="3"/>
  <c r="AC1128" i="3"/>
  <c r="AB1128" i="3"/>
  <c r="Z1128" i="3"/>
  <c r="J1128" i="3"/>
  <c r="AL1128" i="3" s="1"/>
  <c r="BJ1125" i="3"/>
  <c r="BF1125" i="3"/>
  <c r="BD1125" i="3"/>
  <c r="AW1125" i="3"/>
  <c r="AP1125" i="3"/>
  <c r="AO1125" i="3"/>
  <c r="BH1125" i="3" s="1"/>
  <c r="AK1125" i="3"/>
  <c r="AJ1125" i="3"/>
  <c r="AH1125" i="3"/>
  <c r="AF1125" i="3"/>
  <c r="AE1125" i="3"/>
  <c r="AD1125" i="3"/>
  <c r="AC1125" i="3"/>
  <c r="AB1125" i="3"/>
  <c r="Z1125" i="3"/>
  <c r="J1125" i="3"/>
  <c r="AL1125" i="3" s="1"/>
  <c r="H1125" i="3"/>
  <c r="BJ1124" i="3"/>
  <c r="BF1124" i="3"/>
  <c r="BD1124" i="3"/>
  <c r="AX1124" i="3"/>
  <c r="AW1124" i="3"/>
  <c r="BC1124" i="3" s="1"/>
  <c r="AV1124" i="3"/>
  <c r="AP1124" i="3"/>
  <c r="BI1124" i="3" s="1"/>
  <c r="AO1124" i="3"/>
  <c r="BH1124" i="3" s="1"/>
  <c r="AL1124" i="3"/>
  <c r="AK1124" i="3"/>
  <c r="AJ1124" i="3"/>
  <c r="AH1124" i="3"/>
  <c r="AG1124" i="3"/>
  <c r="AF1124" i="3"/>
  <c r="AE1124" i="3"/>
  <c r="AD1124" i="3"/>
  <c r="AC1124" i="3"/>
  <c r="AB1124" i="3"/>
  <c r="Z1124" i="3"/>
  <c r="J1124" i="3"/>
  <c r="I1124" i="3"/>
  <c r="H1124" i="3"/>
  <c r="BJ1120" i="3"/>
  <c r="BF1120" i="3"/>
  <c r="BD1120" i="3"/>
  <c r="AX1120" i="3"/>
  <c r="AP1120" i="3"/>
  <c r="BI1120" i="3" s="1"/>
  <c r="AG1120" i="3" s="1"/>
  <c r="AO1120" i="3"/>
  <c r="AK1120" i="3"/>
  <c r="AJ1120" i="3"/>
  <c r="AH1120" i="3"/>
  <c r="AE1120" i="3"/>
  <c r="AD1120" i="3"/>
  <c r="AC1120" i="3"/>
  <c r="AB1120" i="3"/>
  <c r="Z1120" i="3"/>
  <c r="J1120" i="3"/>
  <c r="AL1120" i="3" s="1"/>
  <c r="I1120" i="3"/>
  <c r="BJ1117" i="3"/>
  <c r="BI1117" i="3"/>
  <c r="AG1117" i="3" s="1"/>
  <c r="BH1117" i="3"/>
  <c r="AF1117" i="3" s="1"/>
  <c r="BF1117" i="3"/>
  <c r="BD1117" i="3"/>
  <c r="AP1117" i="3"/>
  <c r="AO1117" i="3"/>
  <c r="AK1117" i="3"/>
  <c r="AJ1117" i="3"/>
  <c r="AH1117" i="3"/>
  <c r="AE1117" i="3"/>
  <c r="AD1117" i="3"/>
  <c r="AC1117" i="3"/>
  <c r="AB1117" i="3"/>
  <c r="Z1117" i="3"/>
  <c r="J1117" i="3"/>
  <c r="AL1117" i="3" s="1"/>
  <c r="BJ1115" i="3"/>
  <c r="BF1115" i="3"/>
  <c r="BD1115" i="3"/>
  <c r="AW1115" i="3"/>
  <c r="AP1115" i="3"/>
  <c r="AO1115" i="3"/>
  <c r="BH1115" i="3" s="1"/>
  <c r="AF1115" i="3" s="1"/>
  <c r="AL1115" i="3"/>
  <c r="AK1115" i="3"/>
  <c r="AJ1115" i="3"/>
  <c r="AH1115" i="3"/>
  <c r="AE1115" i="3"/>
  <c r="AD1115" i="3"/>
  <c r="AC1115" i="3"/>
  <c r="AB1115" i="3"/>
  <c r="Z1115" i="3"/>
  <c r="J1115" i="3"/>
  <c r="H1115" i="3"/>
  <c r="BJ1113" i="3"/>
  <c r="BF1113" i="3"/>
  <c r="BD1113" i="3"/>
  <c r="AX1113" i="3"/>
  <c r="AW1113" i="3"/>
  <c r="AP1113" i="3"/>
  <c r="BI1113" i="3" s="1"/>
  <c r="AG1113" i="3" s="1"/>
  <c r="AO1113" i="3"/>
  <c r="BH1113" i="3" s="1"/>
  <c r="AF1113" i="3" s="1"/>
  <c r="AL1113" i="3"/>
  <c r="AK1113" i="3"/>
  <c r="AJ1113" i="3"/>
  <c r="AH1113" i="3"/>
  <c r="AE1113" i="3"/>
  <c r="AD1113" i="3"/>
  <c r="AC1113" i="3"/>
  <c r="AB1113" i="3"/>
  <c r="Z1113" i="3"/>
  <c r="J1113" i="3"/>
  <c r="I1113" i="3"/>
  <c r="H1113" i="3"/>
  <c r="BJ1111" i="3"/>
  <c r="BH1111" i="3"/>
  <c r="AF1111" i="3" s="1"/>
  <c r="BF1111" i="3"/>
  <c r="BD1111" i="3"/>
  <c r="AX1111" i="3"/>
  <c r="AW1111" i="3"/>
  <c r="AP1111" i="3"/>
  <c r="BI1111" i="3" s="1"/>
  <c r="AG1111" i="3" s="1"/>
  <c r="AO1111" i="3"/>
  <c r="H1111" i="3" s="1"/>
  <c r="AK1111" i="3"/>
  <c r="AJ1111" i="3"/>
  <c r="AH1111" i="3"/>
  <c r="AE1111" i="3"/>
  <c r="AD1111" i="3"/>
  <c r="AC1111" i="3"/>
  <c r="AB1111" i="3"/>
  <c r="Z1111" i="3"/>
  <c r="J1111" i="3"/>
  <c r="AL1111" i="3" s="1"/>
  <c r="I1111" i="3"/>
  <c r="BJ1109" i="3"/>
  <c r="BI1109" i="3"/>
  <c r="AG1109" i="3" s="1"/>
  <c r="BH1109" i="3"/>
  <c r="AF1109" i="3" s="1"/>
  <c r="BF1109" i="3"/>
  <c r="BD1109" i="3"/>
  <c r="AX1109" i="3"/>
  <c r="AP1109" i="3"/>
  <c r="I1109" i="3" s="1"/>
  <c r="AO1109" i="3"/>
  <c r="AK1109" i="3"/>
  <c r="AJ1109" i="3"/>
  <c r="AH1109" i="3"/>
  <c r="AE1109" i="3"/>
  <c r="AD1109" i="3"/>
  <c r="AC1109" i="3"/>
  <c r="AB1109" i="3"/>
  <c r="Z1109" i="3"/>
  <c r="J1109" i="3"/>
  <c r="AL1109" i="3" s="1"/>
  <c r="BJ1107" i="3"/>
  <c r="BF1107" i="3"/>
  <c r="BD1107" i="3"/>
  <c r="AW1107" i="3"/>
  <c r="AP1107" i="3"/>
  <c r="AO1107" i="3"/>
  <c r="BH1107" i="3" s="1"/>
  <c r="AF1107" i="3" s="1"/>
  <c r="AL1107" i="3"/>
  <c r="AK1107" i="3"/>
  <c r="AJ1107" i="3"/>
  <c r="AH1107" i="3"/>
  <c r="AE1107" i="3"/>
  <c r="AD1107" i="3"/>
  <c r="AC1107" i="3"/>
  <c r="AB1107" i="3"/>
  <c r="Z1107" i="3"/>
  <c r="J1107" i="3"/>
  <c r="H1107" i="3"/>
  <c r="BJ1105" i="3"/>
  <c r="BF1105" i="3"/>
  <c r="BD1105" i="3"/>
  <c r="AX1105" i="3"/>
  <c r="AW1105" i="3"/>
  <c r="BC1105" i="3" s="1"/>
  <c r="AV1105" i="3"/>
  <c r="AP1105" i="3"/>
  <c r="BI1105" i="3" s="1"/>
  <c r="AG1105" i="3" s="1"/>
  <c r="AO1105" i="3"/>
  <c r="BH1105" i="3" s="1"/>
  <c r="AL1105" i="3"/>
  <c r="AK1105" i="3"/>
  <c r="AJ1105" i="3"/>
  <c r="AH1105" i="3"/>
  <c r="AF1105" i="3"/>
  <c r="AE1105" i="3"/>
  <c r="AD1105" i="3"/>
  <c r="AC1105" i="3"/>
  <c r="AB1105" i="3"/>
  <c r="Z1105" i="3"/>
  <c r="J1105" i="3"/>
  <c r="I1105" i="3"/>
  <c r="H1105" i="3"/>
  <c r="BJ1103" i="3"/>
  <c r="BH1103" i="3"/>
  <c r="AF1103" i="3" s="1"/>
  <c r="BF1103" i="3"/>
  <c r="BD1103" i="3"/>
  <c r="AX1103" i="3"/>
  <c r="AW1103" i="3"/>
  <c r="AP1103" i="3"/>
  <c r="BI1103" i="3" s="1"/>
  <c r="AO1103" i="3"/>
  <c r="H1103" i="3" s="1"/>
  <c r="AL1103" i="3"/>
  <c r="AK1103" i="3"/>
  <c r="AJ1103" i="3"/>
  <c r="AH1103" i="3"/>
  <c r="AG1103" i="3"/>
  <c r="AE1103" i="3"/>
  <c r="AD1103" i="3"/>
  <c r="AC1103" i="3"/>
  <c r="AB1103" i="3"/>
  <c r="Z1103" i="3"/>
  <c r="J1103" i="3"/>
  <c r="I1103" i="3"/>
  <c r="BJ1101" i="3"/>
  <c r="BI1101" i="3"/>
  <c r="AG1101" i="3" s="1"/>
  <c r="BF1101" i="3"/>
  <c r="BD1101" i="3"/>
  <c r="AP1101" i="3"/>
  <c r="AO1101" i="3"/>
  <c r="AK1101" i="3"/>
  <c r="AJ1101" i="3"/>
  <c r="AH1101" i="3"/>
  <c r="AE1101" i="3"/>
  <c r="AD1101" i="3"/>
  <c r="AC1101" i="3"/>
  <c r="AB1101" i="3"/>
  <c r="Z1101" i="3"/>
  <c r="J1101" i="3"/>
  <c r="AL1101" i="3" s="1"/>
  <c r="BJ1099" i="3"/>
  <c r="BI1099" i="3"/>
  <c r="AG1099" i="3" s="1"/>
  <c r="BF1099" i="3"/>
  <c r="BD1099" i="3"/>
  <c r="AW1099" i="3"/>
  <c r="AP1099" i="3"/>
  <c r="AO1099" i="3"/>
  <c r="BH1099" i="3" s="1"/>
  <c r="AL1099" i="3"/>
  <c r="AK1099" i="3"/>
  <c r="AJ1099" i="3"/>
  <c r="AH1099" i="3"/>
  <c r="AF1099" i="3"/>
  <c r="AE1099" i="3"/>
  <c r="AD1099" i="3"/>
  <c r="AC1099" i="3"/>
  <c r="AB1099" i="3"/>
  <c r="Z1099" i="3"/>
  <c r="J1099" i="3"/>
  <c r="H1099" i="3"/>
  <c r="BJ1096" i="3"/>
  <c r="BF1096" i="3"/>
  <c r="BD1096" i="3"/>
  <c r="AX1096" i="3"/>
  <c r="AW1096" i="3"/>
  <c r="BC1096" i="3" s="1"/>
  <c r="AV1096" i="3"/>
  <c r="AP1096" i="3"/>
  <c r="BI1096" i="3" s="1"/>
  <c r="AO1096" i="3"/>
  <c r="BH1096" i="3" s="1"/>
  <c r="AL1096" i="3"/>
  <c r="AK1096" i="3"/>
  <c r="AJ1096" i="3"/>
  <c r="AH1096" i="3"/>
  <c r="AG1096" i="3"/>
  <c r="AF1096" i="3"/>
  <c r="AE1096" i="3"/>
  <c r="AD1096" i="3"/>
  <c r="AC1096" i="3"/>
  <c r="AB1096" i="3"/>
  <c r="Z1096" i="3"/>
  <c r="J1096" i="3"/>
  <c r="I1096" i="3"/>
  <c r="H1096" i="3"/>
  <c r="BJ1092" i="3"/>
  <c r="BF1092" i="3"/>
  <c r="BD1092" i="3"/>
  <c r="AX1092" i="3"/>
  <c r="AP1092" i="3"/>
  <c r="BI1092" i="3" s="1"/>
  <c r="AO1092" i="3"/>
  <c r="AL1092" i="3"/>
  <c r="AK1092" i="3"/>
  <c r="AJ1092" i="3"/>
  <c r="AH1092" i="3"/>
  <c r="AG1092" i="3"/>
  <c r="AE1092" i="3"/>
  <c r="AD1092" i="3"/>
  <c r="AC1092" i="3"/>
  <c r="AB1092" i="3"/>
  <c r="Z1092" i="3"/>
  <c r="J1092" i="3"/>
  <c r="I1092" i="3"/>
  <c r="BJ1089" i="3"/>
  <c r="BH1089" i="3"/>
  <c r="AF1089" i="3" s="1"/>
  <c r="BF1089" i="3"/>
  <c r="BD1089" i="3"/>
  <c r="AP1089" i="3"/>
  <c r="AO1089" i="3"/>
  <c r="AK1089" i="3"/>
  <c r="AJ1089" i="3"/>
  <c r="AH1089" i="3"/>
  <c r="AE1089" i="3"/>
  <c r="AD1089" i="3"/>
  <c r="AC1089" i="3"/>
  <c r="AB1089" i="3"/>
  <c r="Z1089" i="3"/>
  <c r="J1089" i="3"/>
  <c r="AL1089" i="3" s="1"/>
  <c r="BJ1086" i="3"/>
  <c r="BI1086" i="3"/>
  <c r="AG1086" i="3" s="1"/>
  <c r="BF1086" i="3"/>
  <c r="BD1086" i="3"/>
  <c r="AW1086" i="3"/>
  <c r="AP1086" i="3"/>
  <c r="AO1086" i="3"/>
  <c r="BH1086" i="3" s="1"/>
  <c r="AL1086" i="3"/>
  <c r="AK1086" i="3"/>
  <c r="AJ1086" i="3"/>
  <c r="AH1086" i="3"/>
  <c r="AF1086" i="3"/>
  <c r="AE1086" i="3"/>
  <c r="AD1086" i="3"/>
  <c r="AC1086" i="3"/>
  <c r="AB1086" i="3"/>
  <c r="Z1086" i="3"/>
  <c r="J1086" i="3"/>
  <c r="H1086" i="3"/>
  <c r="BJ1083" i="3"/>
  <c r="BF1083" i="3"/>
  <c r="BD1083" i="3"/>
  <c r="AX1083" i="3"/>
  <c r="AW1083" i="3"/>
  <c r="AP1083" i="3"/>
  <c r="BI1083" i="3" s="1"/>
  <c r="AO1083" i="3"/>
  <c r="BH1083" i="3" s="1"/>
  <c r="AF1083" i="3" s="1"/>
  <c r="AL1083" i="3"/>
  <c r="AK1083" i="3"/>
  <c r="AJ1083" i="3"/>
  <c r="AH1083" i="3"/>
  <c r="AG1083" i="3"/>
  <c r="AE1083" i="3"/>
  <c r="AD1083" i="3"/>
  <c r="AC1083" i="3"/>
  <c r="AB1083" i="3"/>
  <c r="Z1083" i="3"/>
  <c r="J1083" i="3"/>
  <c r="I1083" i="3"/>
  <c r="H1083" i="3"/>
  <c r="BJ1080" i="3"/>
  <c r="BH1080" i="3"/>
  <c r="AF1080" i="3" s="1"/>
  <c r="BF1080" i="3"/>
  <c r="BD1080" i="3"/>
  <c r="AX1080" i="3"/>
  <c r="AW1080" i="3"/>
  <c r="AP1080" i="3"/>
  <c r="BI1080" i="3" s="1"/>
  <c r="AG1080" i="3" s="1"/>
  <c r="AO1080" i="3"/>
  <c r="H1080" i="3" s="1"/>
  <c r="AK1080" i="3"/>
  <c r="AJ1080" i="3"/>
  <c r="AH1080" i="3"/>
  <c r="AE1080" i="3"/>
  <c r="AD1080" i="3"/>
  <c r="AC1080" i="3"/>
  <c r="AB1080" i="3"/>
  <c r="Z1080" i="3"/>
  <c r="J1080" i="3"/>
  <c r="I1080" i="3"/>
  <c r="AS1079" i="3"/>
  <c r="BJ1077" i="3"/>
  <c r="BF1077" i="3"/>
  <c r="BD1077" i="3"/>
  <c r="AX1077" i="3"/>
  <c r="AW1077" i="3"/>
  <c r="AP1077" i="3"/>
  <c r="BI1077" i="3" s="1"/>
  <c r="AG1077" i="3" s="1"/>
  <c r="AO1077" i="3"/>
  <c r="BH1077" i="3" s="1"/>
  <c r="AF1077" i="3" s="1"/>
  <c r="AL1077" i="3"/>
  <c r="AK1077" i="3"/>
  <c r="AJ1077" i="3"/>
  <c r="AH1077" i="3"/>
  <c r="AE1077" i="3"/>
  <c r="AD1077" i="3"/>
  <c r="AC1077" i="3"/>
  <c r="AB1077" i="3"/>
  <c r="Z1077" i="3"/>
  <c r="J1077" i="3"/>
  <c r="I1077" i="3"/>
  <c r="H1077" i="3"/>
  <c r="BJ1074" i="3"/>
  <c r="BI1074" i="3"/>
  <c r="BF1074" i="3"/>
  <c r="BD1074" i="3"/>
  <c r="AX1074" i="3"/>
  <c r="AP1074" i="3"/>
  <c r="AO1074" i="3"/>
  <c r="AL1074" i="3"/>
  <c r="AK1074" i="3"/>
  <c r="AJ1074" i="3"/>
  <c r="AH1074" i="3"/>
  <c r="AG1074" i="3"/>
  <c r="AE1074" i="3"/>
  <c r="AD1074" i="3"/>
  <c r="AC1074" i="3"/>
  <c r="AB1074" i="3"/>
  <c r="Z1074" i="3"/>
  <c r="J1074" i="3"/>
  <c r="I1074" i="3"/>
  <c r="BJ1072" i="3"/>
  <c r="BH1072" i="3"/>
  <c r="AF1072" i="3" s="1"/>
  <c r="BF1072" i="3"/>
  <c r="BD1072" i="3"/>
  <c r="AX1072" i="3"/>
  <c r="AV1072" i="3"/>
  <c r="AP1072" i="3"/>
  <c r="AO1072" i="3"/>
  <c r="AW1072" i="3" s="1"/>
  <c r="BC1072" i="3" s="1"/>
  <c r="AK1072" i="3"/>
  <c r="AT1071" i="3" s="1"/>
  <c r="AJ1072" i="3"/>
  <c r="AH1072" i="3"/>
  <c r="AE1072" i="3"/>
  <c r="AD1072" i="3"/>
  <c r="AC1072" i="3"/>
  <c r="AB1072" i="3"/>
  <c r="Z1072" i="3"/>
  <c r="J1072" i="3"/>
  <c r="AL1072" i="3" s="1"/>
  <c r="AU1071" i="3" s="1"/>
  <c r="H1072" i="3"/>
  <c r="AS1071" i="3"/>
  <c r="J1071" i="3"/>
  <c r="BJ1069" i="3"/>
  <c r="BF1069" i="3"/>
  <c r="BD1069" i="3"/>
  <c r="AW1069" i="3"/>
  <c r="AP1069" i="3"/>
  <c r="AO1069" i="3"/>
  <c r="BH1069" i="3" s="1"/>
  <c r="AL1069" i="3"/>
  <c r="AK1069" i="3"/>
  <c r="AJ1069" i="3"/>
  <c r="AH1069" i="3"/>
  <c r="AF1069" i="3"/>
  <c r="AE1069" i="3"/>
  <c r="AD1069" i="3"/>
  <c r="AC1069" i="3"/>
  <c r="AB1069" i="3"/>
  <c r="Z1069" i="3"/>
  <c r="J1069" i="3"/>
  <c r="H1069" i="3"/>
  <c r="BJ1067" i="3"/>
  <c r="BF1067" i="3"/>
  <c r="BD1067" i="3"/>
  <c r="AX1067" i="3"/>
  <c r="AP1067" i="3"/>
  <c r="BI1067" i="3" s="1"/>
  <c r="AG1067" i="3" s="1"/>
  <c r="AO1067" i="3"/>
  <c r="AK1067" i="3"/>
  <c r="AJ1067" i="3"/>
  <c r="AH1067" i="3"/>
  <c r="AE1067" i="3"/>
  <c r="AD1067" i="3"/>
  <c r="AC1067" i="3"/>
  <c r="AB1067" i="3"/>
  <c r="Z1067" i="3"/>
  <c r="J1067" i="3"/>
  <c r="AL1067" i="3" s="1"/>
  <c r="I1067" i="3"/>
  <c r="H1067" i="3"/>
  <c r="BJ1065" i="3"/>
  <c r="BI1065" i="3"/>
  <c r="AG1065" i="3" s="1"/>
  <c r="BF1065" i="3"/>
  <c r="BD1065" i="3"/>
  <c r="AW1065" i="3"/>
  <c r="AV1065" i="3" s="1"/>
  <c r="AP1065" i="3"/>
  <c r="AX1065" i="3" s="1"/>
  <c r="AO1065" i="3"/>
  <c r="AK1065" i="3"/>
  <c r="AJ1065" i="3"/>
  <c r="AH1065" i="3"/>
  <c r="AE1065" i="3"/>
  <c r="AD1065" i="3"/>
  <c r="AC1065" i="3"/>
  <c r="AB1065" i="3"/>
  <c r="Z1065" i="3"/>
  <c r="J1065" i="3"/>
  <c r="AL1065" i="3" s="1"/>
  <c r="I1065" i="3"/>
  <c r="BJ1063" i="3"/>
  <c r="BI1063" i="3"/>
  <c r="AG1063" i="3" s="1"/>
  <c r="BH1063" i="3"/>
  <c r="AF1063" i="3" s="1"/>
  <c r="BF1063" i="3"/>
  <c r="BD1063" i="3"/>
  <c r="AX1063" i="3"/>
  <c r="AP1063" i="3"/>
  <c r="I1063" i="3" s="1"/>
  <c r="AO1063" i="3"/>
  <c r="AK1063" i="3"/>
  <c r="AJ1063" i="3"/>
  <c r="AH1063" i="3"/>
  <c r="AE1063" i="3"/>
  <c r="AD1063" i="3"/>
  <c r="AC1063" i="3"/>
  <c r="AB1063" i="3"/>
  <c r="Z1063" i="3"/>
  <c r="J1063" i="3"/>
  <c r="BJ1061" i="3"/>
  <c r="BI1061" i="3"/>
  <c r="BF1061" i="3"/>
  <c r="BD1061" i="3"/>
  <c r="AW1061" i="3"/>
  <c r="BC1061" i="3" s="1"/>
  <c r="AV1061" i="3"/>
  <c r="AP1061" i="3"/>
  <c r="AX1061" i="3" s="1"/>
  <c r="AO1061" i="3"/>
  <c r="BH1061" i="3" s="1"/>
  <c r="AL1061" i="3"/>
  <c r="AK1061" i="3"/>
  <c r="AJ1061" i="3"/>
  <c r="AH1061" i="3"/>
  <c r="AG1061" i="3"/>
  <c r="AF1061" i="3"/>
  <c r="AE1061" i="3"/>
  <c r="AD1061" i="3"/>
  <c r="AC1061" i="3"/>
  <c r="AB1061" i="3"/>
  <c r="Z1061" i="3"/>
  <c r="J1061" i="3"/>
  <c r="I1061" i="3"/>
  <c r="H1061" i="3"/>
  <c r="BJ1059" i="3"/>
  <c r="BH1059" i="3"/>
  <c r="BF1059" i="3"/>
  <c r="BD1059" i="3"/>
  <c r="AX1059" i="3"/>
  <c r="AW1059" i="3"/>
  <c r="BC1059" i="3" s="1"/>
  <c r="AV1059" i="3"/>
  <c r="AP1059" i="3"/>
  <c r="BI1059" i="3" s="1"/>
  <c r="AG1059" i="3" s="1"/>
  <c r="AO1059" i="3"/>
  <c r="AL1059" i="3"/>
  <c r="AK1059" i="3"/>
  <c r="AJ1059" i="3"/>
  <c r="AH1059" i="3"/>
  <c r="AF1059" i="3"/>
  <c r="AE1059" i="3"/>
  <c r="AD1059" i="3"/>
  <c r="AC1059" i="3"/>
  <c r="AB1059" i="3"/>
  <c r="Z1059" i="3"/>
  <c r="J1059" i="3"/>
  <c r="I1059" i="3"/>
  <c r="H1059" i="3"/>
  <c r="BJ1057" i="3"/>
  <c r="BH1057" i="3"/>
  <c r="AF1057" i="3" s="1"/>
  <c r="BF1057" i="3"/>
  <c r="BD1057" i="3"/>
  <c r="AX1057" i="3"/>
  <c r="AW1057" i="3"/>
  <c r="AP1057" i="3"/>
  <c r="AO1057" i="3"/>
  <c r="H1057" i="3" s="1"/>
  <c r="AL1057" i="3"/>
  <c r="AK1057" i="3"/>
  <c r="AJ1057" i="3"/>
  <c r="AH1057" i="3"/>
  <c r="AE1057" i="3"/>
  <c r="AD1057" i="3"/>
  <c r="AC1057" i="3"/>
  <c r="AB1057" i="3"/>
  <c r="Z1057" i="3"/>
  <c r="J1057" i="3"/>
  <c r="BJ1055" i="3"/>
  <c r="BI1055" i="3"/>
  <c r="AG1055" i="3" s="1"/>
  <c r="BH1055" i="3"/>
  <c r="AF1055" i="3" s="1"/>
  <c r="BF1055" i="3"/>
  <c r="BD1055" i="3"/>
  <c r="AX1055" i="3"/>
  <c r="BC1055" i="3" s="1"/>
  <c r="AP1055" i="3"/>
  <c r="I1055" i="3" s="1"/>
  <c r="AO1055" i="3"/>
  <c r="AW1055" i="3" s="1"/>
  <c r="AK1055" i="3"/>
  <c r="AJ1055" i="3"/>
  <c r="AH1055" i="3"/>
  <c r="AE1055" i="3"/>
  <c r="AD1055" i="3"/>
  <c r="AC1055" i="3"/>
  <c r="AB1055" i="3"/>
  <c r="Z1055" i="3"/>
  <c r="J1055" i="3"/>
  <c r="AL1055" i="3" s="1"/>
  <c r="BJ1053" i="3"/>
  <c r="BF1053" i="3"/>
  <c r="BD1053" i="3"/>
  <c r="AW1053" i="3"/>
  <c r="AP1053" i="3"/>
  <c r="AO1053" i="3"/>
  <c r="BH1053" i="3" s="1"/>
  <c r="AF1053" i="3" s="1"/>
  <c r="AL1053" i="3"/>
  <c r="AK1053" i="3"/>
  <c r="AJ1053" i="3"/>
  <c r="AH1053" i="3"/>
  <c r="AE1053" i="3"/>
  <c r="AD1053" i="3"/>
  <c r="AC1053" i="3"/>
  <c r="AB1053" i="3"/>
  <c r="Z1053" i="3"/>
  <c r="J1053" i="3"/>
  <c r="H1053" i="3"/>
  <c r="BJ1050" i="3"/>
  <c r="BI1050" i="3"/>
  <c r="AG1050" i="3" s="1"/>
  <c r="BH1050" i="3"/>
  <c r="AF1050" i="3" s="1"/>
  <c r="BF1050" i="3"/>
  <c r="BD1050" i="3"/>
  <c r="AX1050" i="3"/>
  <c r="BC1050" i="3" s="1"/>
  <c r="AP1050" i="3"/>
  <c r="I1050" i="3" s="1"/>
  <c r="AO1050" i="3"/>
  <c r="AW1050" i="3" s="1"/>
  <c r="AK1050" i="3"/>
  <c r="AJ1050" i="3"/>
  <c r="AH1050" i="3"/>
  <c r="AE1050" i="3"/>
  <c r="AD1050" i="3"/>
  <c r="AC1050" i="3"/>
  <c r="AB1050" i="3"/>
  <c r="Z1050" i="3"/>
  <c r="J1050" i="3"/>
  <c r="AL1050" i="3" s="1"/>
  <c r="BJ1047" i="3"/>
  <c r="BF1047" i="3"/>
  <c r="BD1047" i="3"/>
  <c r="AW1047" i="3"/>
  <c r="AP1047" i="3"/>
  <c r="AO1047" i="3"/>
  <c r="BH1047" i="3" s="1"/>
  <c r="AF1047" i="3" s="1"/>
  <c r="AL1047" i="3"/>
  <c r="AK1047" i="3"/>
  <c r="AJ1047" i="3"/>
  <c r="AH1047" i="3"/>
  <c r="AE1047" i="3"/>
  <c r="AD1047" i="3"/>
  <c r="AC1047" i="3"/>
  <c r="AB1047" i="3"/>
  <c r="Z1047" i="3"/>
  <c r="J1047" i="3"/>
  <c r="H1047" i="3"/>
  <c r="BJ1044" i="3"/>
  <c r="BF1044" i="3"/>
  <c r="BD1044" i="3"/>
  <c r="AX1044" i="3"/>
  <c r="AP1044" i="3"/>
  <c r="BI1044" i="3" s="1"/>
  <c r="AO1044" i="3"/>
  <c r="AL1044" i="3"/>
  <c r="AK1044" i="3"/>
  <c r="AJ1044" i="3"/>
  <c r="AH1044" i="3"/>
  <c r="AG1044" i="3"/>
  <c r="AE1044" i="3"/>
  <c r="AD1044" i="3"/>
  <c r="AC1044" i="3"/>
  <c r="AB1044" i="3"/>
  <c r="Z1044" i="3"/>
  <c r="J1044" i="3"/>
  <c r="I1044" i="3"/>
  <c r="BJ1041" i="3"/>
  <c r="BI1041" i="3"/>
  <c r="BF1041" i="3"/>
  <c r="BD1041" i="3"/>
  <c r="AX1041" i="3"/>
  <c r="AP1041" i="3"/>
  <c r="AO1041" i="3"/>
  <c r="AL1041" i="3"/>
  <c r="AK1041" i="3"/>
  <c r="AJ1041" i="3"/>
  <c r="AH1041" i="3"/>
  <c r="AG1041" i="3"/>
  <c r="AE1041" i="3"/>
  <c r="AD1041" i="3"/>
  <c r="AC1041" i="3"/>
  <c r="AB1041" i="3"/>
  <c r="Z1041" i="3"/>
  <c r="J1041" i="3"/>
  <c r="I1041" i="3"/>
  <c r="BJ1038" i="3"/>
  <c r="BF1038" i="3"/>
  <c r="BD1038" i="3"/>
  <c r="AP1038" i="3"/>
  <c r="AO1038" i="3"/>
  <c r="AK1038" i="3"/>
  <c r="AJ1038" i="3"/>
  <c r="AH1038" i="3"/>
  <c r="AE1038" i="3"/>
  <c r="AD1038" i="3"/>
  <c r="AC1038" i="3"/>
  <c r="AB1038" i="3"/>
  <c r="Z1038" i="3"/>
  <c r="J1038" i="3"/>
  <c r="AL1038" i="3" s="1"/>
  <c r="BJ1035" i="3"/>
  <c r="BF1035" i="3"/>
  <c r="BD1035" i="3"/>
  <c r="AW1035" i="3"/>
  <c r="AP1035" i="3"/>
  <c r="AO1035" i="3"/>
  <c r="BH1035" i="3" s="1"/>
  <c r="AL1035" i="3"/>
  <c r="AK1035" i="3"/>
  <c r="AJ1035" i="3"/>
  <c r="AH1035" i="3"/>
  <c r="AF1035" i="3"/>
  <c r="AE1035" i="3"/>
  <c r="AD1035" i="3"/>
  <c r="AC1035" i="3"/>
  <c r="AB1035" i="3"/>
  <c r="Z1035" i="3"/>
  <c r="J1035" i="3"/>
  <c r="H1035" i="3"/>
  <c r="BJ1032" i="3"/>
  <c r="BH1032" i="3"/>
  <c r="AF1032" i="3" s="1"/>
  <c r="BF1032" i="3"/>
  <c r="BD1032" i="3"/>
  <c r="AX1032" i="3"/>
  <c r="AW1032" i="3"/>
  <c r="AP1032" i="3"/>
  <c r="BI1032" i="3" s="1"/>
  <c r="AO1032" i="3"/>
  <c r="H1032" i="3" s="1"/>
  <c r="AL1032" i="3"/>
  <c r="AK1032" i="3"/>
  <c r="AJ1032" i="3"/>
  <c r="AH1032" i="3"/>
  <c r="AG1032" i="3"/>
  <c r="AE1032" i="3"/>
  <c r="AD1032" i="3"/>
  <c r="AC1032" i="3"/>
  <c r="AB1032" i="3"/>
  <c r="Z1032" i="3"/>
  <c r="J1032" i="3"/>
  <c r="I1032" i="3"/>
  <c r="BJ1029" i="3"/>
  <c r="BI1029" i="3"/>
  <c r="BF1029" i="3"/>
  <c r="BD1029" i="3"/>
  <c r="AP1029" i="3"/>
  <c r="AX1029" i="3" s="1"/>
  <c r="AO1029" i="3"/>
  <c r="AL1029" i="3"/>
  <c r="AK1029" i="3"/>
  <c r="AJ1029" i="3"/>
  <c r="AH1029" i="3"/>
  <c r="AG1029" i="3"/>
  <c r="AE1029" i="3"/>
  <c r="AD1029" i="3"/>
  <c r="AC1029" i="3"/>
  <c r="AB1029" i="3"/>
  <c r="Z1029" i="3"/>
  <c r="J1029" i="3"/>
  <c r="I1029" i="3"/>
  <c r="BJ1027" i="3"/>
  <c r="BH1027" i="3"/>
  <c r="AF1027" i="3" s="1"/>
  <c r="BF1027" i="3"/>
  <c r="BD1027" i="3"/>
  <c r="AX1027" i="3"/>
  <c r="AV1027" i="3" s="1"/>
  <c r="AP1027" i="3"/>
  <c r="AO1027" i="3"/>
  <c r="AW1027" i="3" s="1"/>
  <c r="AK1027" i="3"/>
  <c r="AJ1027" i="3"/>
  <c r="AH1027" i="3"/>
  <c r="AE1027" i="3"/>
  <c r="AD1027" i="3"/>
  <c r="AC1027" i="3"/>
  <c r="AB1027" i="3"/>
  <c r="Z1027" i="3"/>
  <c r="J1027" i="3"/>
  <c r="AL1027" i="3" s="1"/>
  <c r="H1027" i="3"/>
  <c r="BJ1025" i="3"/>
  <c r="BI1025" i="3"/>
  <c r="AG1025" i="3" s="1"/>
  <c r="BF1025" i="3"/>
  <c r="BD1025" i="3"/>
  <c r="AW1025" i="3"/>
  <c r="AP1025" i="3"/>
  <c r="AO1025" i="3"/>
  <c r="BH1025" i="3" s="1"/>
  <c r="AL1025" i="3"/>
  <c r="AK1025" i="3"/>
  <c r="AJ1025" i="3"/>
  <c r="AH1025" i="3"/>
  <c r="AF1025" i="3"/>
  <c r="AE1025" i="3"/>
  <c r="AD1025" i="3"/>
  <c r="AC1025" i="3"/>
  <c r="AB1025" i="3"/>
  <c r="Z1025" i="3"/>
  <c r="J1025" i="3"/>
  <c r="H1025" i="3"/>
  <c r="BJ1023" i="3"/>
  <c r="BF1023" i="3"/>
  <c r="BD1023" i="3"/>
  <c r="AX1023" i="3"/>
  <c r="AP1023" i="3"/>
  <c r="BI1023" i="3" s="1"/>
  <c r="AG1023" i="3" s="1"/>
  <c r="AO1023" i="3"/>
  <c r="AK1023" i="3"/>
  <c r="AJ1023" i="3"/>
  <c r="AH1023" i="3"/>
  <c r="AE1023" i="3"/>
  <c r="AD1023" i="3"/>
  <c r="AC1023" i="3"/>
  <c r="AB1023" i="3"/>
  <c r="Z1023" i="3"/>
  <c r="J1023" i="3"/>
  <c r="AL1023" i="3" s="1"/>
  <c r="I1023" i="3"/>
  <c r="H1023" i="3"/>
  <c r="BJ1021" i="3"/>
  <c r="BI1021" i="3"/>
  <c r="AG1021" i="3" s="1"/>
  <c r="BF1021" i="3"/>
  <c r="BD1021" i="3"/>
  <c r="AW1021" i="3"/>
  <c r="AP1021" i="3"/>
  <c r="AX1021" i="3" s="1"/>
  <c r="AO1021" i="3"/>
  <c r="AK1021" i="3"/>
  <c r="AJ1021" i="3"/>
  <c r="AH1021" i="3"/>
  <c r="AE1021" i="3"/>
  <c r="AD1021" i="3"/>
  <c r="AC1021" i="3"/>
  <c r="AB1021" i="3"/>
  <c r="Z1021" i="3"/>
  <c r="J1021" i="3"/>
  <c r="AL1021" i="3" s="1"/>
  <c r="I1021" i="3"/>
  <c r="BJ1018" i="3"/>
  <c r="BI1018" i="3"/>
  <c r="AG1018" i="3" s="1"/>
  <c r="BH1018" i="3"/>
  <c r="AF1018" i="3" s="1"/>
  <c r="BF1018" i="3"/>
  <c r="BD1018" i="3"/>
  <c r="AX1018" i="3"/>
  <c r="AP1018" i="3"/>
  <c r="I1018" i="3" s="1"/>
  <c r="AO1018" i="3"/>
  <c r="AK1018" i="3"/>
  <c r="AJ1018" i="3"/>
  <c r="AH1018" i="3"/>
  <c r="AE1018" i="3"/>
  <c r="AD1018" i="3"/>
  <c r="AC1018" i="3"/>
  <c r="AB1018" i="3"/>
  <c r="Z1018" i="3"/>
  <c r="J1018" i="3"/>
  <c r="AL1018" i="3" s="1"/>
  <c r="BJ1016" i="3"/>
  <c r="BI1016" i="3"/>
  <c r="BF1016" i="3"/>
  <c r="BD1016" i="3"/>
  <c r="AW1016" i="3"/>
  <c r="BC1016" i="3" s="1"/>
  <c r="AV1016" i="3"/>
  <c r="AP1016" i="3"/>
  <c r="AX1016" i="3" s="1"/>
  <c r="AO1016" i="3"/>
  <c r="BH1016" i="3" s="1"/>
  <c r="AL1016" i="3"/>
  <c r="AK1016" i="3"/>
  <c r="AJ1016" i="3"/>
  <c r="AH1016" i="3"/>
  <c r="AG1016" i="3"/>
  <c r="AF1016" i="3"/>
  <c r="AE1016" i="3"/>
  <c r="AD1016" i="3"/>
  <c r="AC1016" i="3"/>
  <c r="AB1016" i="3"/>
  <c r="Z1016" i="3"/>
  <c r="J1016" i="3"/>
  <c r="I1016" i="3"/>
  <c r="H1016" i="3"/>
  <c r="BJ1013" i="3"/>
  <c r="BH1013" i="3"/>
  <c r="BF1013" i="3"/>
  <c r="BD1013" i="3"/>
  <c r="AX1013" i="3"/>
  <c r="AW1013" i="3"/>
  <c r="BC1013" i="3" s="1"/>
  <c r="AV1013" i="3"/>
  <c r="AP1013" i="3"/>
  <c r="BI1013" i="3" s="1"/>
  <c r="AG1013" i="3" s="1"/>
  <c r="AO1013" i="3"/>
  <c r="AL1013" i="3"/>
  <c r="AK1013" i="3"/>
  <c r="AJ1013" i="3"/>
  <c r="AH1013" i="3"/>
  <c r="AF1013" i="3"/>
  <c r="AE1013" i="3"/>
  <c r="AD1013" i="3"/>
  <c r="AC1013" i="3"/>
  <c r="AB1013" i="3"/>
  <c r="Z1013" i="3"/>
  <c r="J1013" i="3"/>
  <c r="I1013" i="3"/>
  <c r="H1013" i="3"/>
  <c r="BJ1010" i="3"/>
  <c r="BH1010" i="3"/>
  <c r="AF1010" i="3" s="1"/>
  <c r="BF1010" i="3"/>
  <c r="BD1010" i="3"/>
  <c r="AX1010" i="3"/>
  <c r="AW1010" i="3"/>
  <c r="AP1010" i="3"/>
  <c r="AO1010" i="3"/>
  <c r="H1010" i="3" s="1"/>
  <c r="AL1010" i="3"/>
  <c r="AK1010" i="3"/>
  <c r="AJ1010" i="3"/>
  <c r="AH1010" i="3"/>
  <c r="AE1010" i="3"/>
  <c r="AD1010" i="3"/>
  <c r="AC1010" i="3"/>
  <c r="AB1010" i="3"/>
  <c r="Z1010" i="3"/>
  <c r="J1010" i="3"/>
  <c r="BJ1007" i="3"/>
  <c r="BI1007" i="3"/>
  <c r="AG1007" i="3" s="1"/>
  <c r="BH1007" i="3"/>
  <c r="AF1007" i="3" s="1"/>
  <c r="BF1007" i="3"/>
  <c r="BD1007" i="3"/>
  <c r="AX1007" i="3"/>
  <c r="BC1007" i="3" s="1"/>
  <c r="AP1007" i="3"/>
  <c r="I1007" i="3" s="1"/>
  <c r="AO1007" i="3"/>
  <c r="AW1007" i="3" s="1"/>
  <c r="AK1007" i="3"/>
  <c r="AJ1007" i="3"/>
  <c r="AH1007" i="3"/>
  <c r="AE1007" i="3"/>
  <c r="AD1007" i="3"/>
  <c r="AC1007" i="3"/>
  <c r="AB1007" i="3"/>
  <c r="Z1007" i="3"/>
  <c r="J1007" i="3"/>
  <c r="AL1007" i="3" s="1"/>
  <c r="BJ1005" i="3"/>
  <c r="BF1005" i="3"/>
  <c r="BD1005" i="3"/>
  <c r="AW1005" i="3"/>
  <c r="AP1005" i="3"/>
  <c r="AO1005" i="3"/>
  <c r="BH1005" i="3" s="1"/>
  <c r="AF1005" i="3" s="1"/>
  <c r="AL1005" i="3"/>
  <c r="AK1005" i="3"/>
  <c r="AJ1005" i="3"/>
  <c r="AH1005" i="3"/>
  <c r="AE1005" i="3"/>
  <c r="AD1005" i="3"/>
  <c r="AC1005" i="3"/>
  <c r="AB1005" i="3"/>
  <c r="Z1005" i="3"/>
  <c r="J1005" i="3"/>
  <c r="H1005" i="3"/>
  <c r="BJ1002" i="3"/>
  <c r="BF1002" i="3"/>
  <c r="BD1002" i="3"/>
  <c r="AX1002" i="3"/>
  <c r="AP1002" i="3"/>
  <c r="BI1002" i="3" s="1"/>
  <c r="AO1002" i="3"/>
  <c r="AK1002" i="3"/>
  <c r="AJ1002" i="3"/>
  <c r="AH1002" i="3"/>
  <c r="AG1002" i="3"/>
  <c r="AE1002" i="3"/>
  <c r="AD1002" i="3"/>
  <c r="AC1002" i="3"/>
  <c r="AB1002" i="3"/>
  <c r="Z1002" i="3"/>
  <c r="J1002" i="3"/>
  <c r="I1002" i="3"/>
  <c r="BJ999" i="3"/>
  <c r="BF999" i="3"/>
  <c r="BD999" i="3"/>
  <c r="AW999" i="3"/>
  <c r="AP999" i="3"/>
  <c r="AO999" i="3"/>
  <c r="BH999" i="3" s="1"/>
  <c r="AL999" i="3"/>
  <c r="AK999" i="3"/>
  <c r="AT998" i="3" s="1"/>
  <c r="AJ999" i="3"/>
  <c r="AS998" i="3" s="1"/>
  <c r="AH999" i="3"/>
  <c r="AG999" i="3"/>
  <c r="AF999" i="3"/>
  <c r="AE999" i="3"/>
  <c r="AD999" i="3"/>
  <c r="AC999" i="3"/>
  <c r="AB999" i="3"/>
  <c r="Z999" i="3"/>
  <c r="J999" i="3"/>
  <c r="H999" i="3"/>
  <c r="H998" i="3" s="1"/>
  <c r="AU998" i="3"/>
  <c r="J998" i="3"/>
  <c r="BJ991" i="3"/>
  <c r="BH991" i="3"/>
  <c r="AB991" i="3" s="1"/>
  <c r="BF991" i="3"/>
  <c r="BD991" i="3"/>
  <c r="AP991" i="3"/>
  <c r="AO991" i="3"/>
  <c r="AW991" i="3" s="1"/>
  <c r="AK991" i="3"/>
  <c r="AJ991" i="3"/>
  <c r="AH991" i="3"/>
  <c r="AG991" i="3"/>
  <c r="AF991" i="3"/>
  <c r="AE991" i="3"/>
  <c r="AD991" i="3"/>
  <c r="Z991" i="3"/>
  <c r="J991" i="3"/>
  <c r="AL991" i="3" s="1"/>
  <c r="H991" i="3"/>
  <c r="BJ989" i="3"/>
  <c r="BF989" i="3"/>
  <c r="BD989" i="3"/>
  <c r="AW989" i="3"/>
  <c r="AP989" i="3"/>
  <c r="AX989" i="3" s="1"/>
  <c r="AO989" i="3"/>
  <c r="BH989" i="3" s="1"/>
  <c r="AL989" i="3"/>
  <c r="AU988" i="3" s="1"/>
  <c r="AK989" i="3"/>
  <c r="AJ989" i="3"/>
  <c r="AH989" i="3"/>
  <c r="AG989" i="3"/>
  <c r="AF989" i="3"/>
  <c r="AE989" i="3"/>
  <c r="AD989" i="3"/>
  <c r="AB989" i="3"/>
  <c r="Z989" i="3"/>
  <c r="J989" i="3"/>
  <c r="I989" i="3"/>
  <c r="H989" i="3"/>
  <c r="J988" i="3"/>
  <c r="BJ986" i="3"/>
  <c r="BH986" i="3"/>
  <c r="AB986" i="3" s="1"/>
  <c r="BF986" i="3"/>
  <c r="BD986" i="3"/>
  <c r="AP986" i="3"/>
  <c r="AO986" i="3"/>
  <c r="AW986" i="3" s="1"/>
  <c r="AK986" i="3"/>
  <c r="AJ986" i="3"/>
  <c r="AH986" i="3"/>
  <c r="AG986" i="3"/>
  <c r="AF986" i="3"/>
  <c r="AE986" i="3"/>
  <c r="AD986" i="3"/>
  <c r="Z986" i="3"/>
  <c r="J986" i="3"/>
  <c r="AL986" i="3" s="1"/>
  <c r="H986" i="3"/>
  <c r="BJ984" i="3"/>
  <c r="BI984" i="3"/>
  <c r="AC984" i="3" s="1"/>
  <c r="BF984" i="3"/>
  <c r="BD984" i="3"/>
  <c r="AW984" i="3"/>
  <c r="BC984" i="3" s="1"/>
  <c r="AV984" i="3"/>
  <c r="AP984" i="3"/>
  <c r="AX984" i="3" s="1"/>
  <c r="AO984" i="3"/>
  <c r="BH984" i="3" s="1"/>
  <c r="AL984" i="3"/>
  <c r="AK984" i="3"/>
  <c r="AJ984" i="3"/>
  <c r="AH984" i="3"/>
  <c r="AG984" i="3"/>
  <c r="AF984" i="3"/>
  <c r="AE984" i="3"/>
  <c r="AD984" i="3"/>
  <c r="AB984" i="3"/>
  <c r="Z984" i="3"/>
  <c r="J984" i="3"/>
  <c r="I984" i="3"/>
  <c r="H984" i="3"/>
  <c r="BJ982" i="3"/>
  <c r="BF982" i="3"/>
  <c r="BD982" i="3"/>
  <c r="AX982" i="3"/>
  <c r="AP982" i="3"/>
  <c r="BI982" i="3" s="1"/>
  <c r="AC982" i="3" s="1"/>
  <c r="AO982" i="3"/>
  <c r="AK982" i="3"/>
  <c r="AJ982" i="3"/>
  <c r="AH982" i="3"/>
  <c r="AG982" i="3"/>
  <c r="AF982" i="3"/>
  <c r="AE982" i="3"/>
  <c r="AD982" i="3"/>
  <c r="Z982" i="3"/>
  <c r="J982" i="3"/>
  <c r="AL982" i="3" s="1"/>
  <c r="I982" i="3"/>
  <c r="H982" i="3"/>
  <c r="BJ980" i="3"/>
  <c r="BF980" i="3"/>
  <c r="BD980" i="3"/>
  <c r="AP980" i="3"/>
  <c r="AX980" i="3" s="1"/>
  <c r="AO980" i="3"/>
  <c r="AK980" i="3"/>
  <c r="AJ980" i="3"/>
  <c r="AH980" i="3"/>
  <c r="AG980" i="3"/>
  <c r="AF980" i="3"/>
  <c r="AE980" i="3"/>
  <c r="AD980" i="3"/>
  <c r="Z980" i="3"/>
  <c r="J980" i="3"/>
  <c r="AS979" i="3"/>
  <c r="BJ978" i="3"/>
  <c r="Z978" i="3" s="1"/>
  <c r="BH978" i="3"/>
  <c r="BF978" i="3"/>
  <c r="BD978" i="3"/>
  <c r="AX978" i="3"/>
  <c r="AW978" i="3"/>
  <c r="BC978" i="3" s="1"/>
  <c r="AV978" i="3"/>
  <c r="AP978" i="3"/>
  <c r="BI978" i="3" s="1"/>
  <c r="AO978" i="3"/>
  <c r="AL978" i="3"/>
  <c r="AK978" i="3"/>
  <c r="AJ978" i="3"/>
  <c r="AH978" i="3"/>
  <c r="AG978" i="3"/>
  <c r="AF978" i="3"/>
  <c r="AE978" i="3"/>
  <c r="AD978" i="3"/>
  <c r="AC978" i="3"/>
  <c r="AB978" i="3"/>
  <c r="J978" i="3"/>
  <c r="I978" i="3"/>
  <c r="H978" i="3"/>
  <c r="H974" i="3" s="1"/>
  <c r="BJ975" i="3"/>
  <c r="BH975" i="3"/>
  <c r="AB975" i="3" s="1"/>
  <c r="BF975" i="3"/>
  <c r="BD975" i="3"/>
  <c r="AX975" i="3"/>
  <c r="AW975" i="3"/>
  <c r="AP975" i="3"/>
  <c r="AO975" i="3"/>
  <c r="H975" i="3" s="1"/>
  <c r="AL975" i="3"/>
  <c r="AU974" i="3" s="1"/>
  <c r="AK975" i="3"/>
  <c r="AJ975" i="3"/>
  <c r="AH975" i="3"/>
  <c r="AG975" i="3"/>
  <c r="AF975" i="3"/>
  <c r="AE975" i="3"/>
  <c r="AD975" i="3"/>
  <c r="Z975" i="3"/>
  <c r="J975" i="3"/>
  <c r="J974" i="3" s="1"/>
  <c r="AT974" i="3"/>
  <c r="AS974" i="3"/>
  <c r="BJ970" i="3"/>
  <c r="BH970" i="3"/>
  <c r="AB970" i="3" s="1"/>
  <c r="BF970" i="3"/>
  <c r="BD970" i="3"/>
  <c r="AX970" i="3"/>
  <c r="AW970" i="3"/>
  <c r="AP970" i="3"/>
  <c r="BI970" i="3" s="1"/>
  <c r="AC970" i="3" s="1"/>
  <c r="AO970" i="3"/>
  <c r="H970" i="3" s="1"/>
  <c r="AK970" i="3"/>
  <c r="AJ970" i="3"/>
  <c r="AH970" i="3"/>
  <c r="AG970" i="3"/>
  <c r="AF970" i="3"/>
  <c r="AE970" i="3"/>
  <c r="AD970" i="3"/>
  <c r="Z970" i="3"/>
  <c r="J970" i="3"/>
  <c r="AL970" i="3" s="1"/>
  <c r="I970" i="3"/>
  <c r="BJ967" i="3"/>
  <c r="BI967" i="3"/>
  <c r="BH967" i="3"/>
  <c r="AB967" i="3" s="1"/>
  <c r="BF967" i="3"/>
  <c r="BD967" i="3"/>
  <c r="AX967" i="3"/>
  <c r="AP967" i="3"/>
  <c r="AO967" i="3"/>
  <c r="AL967" i="3"/>
  <c r="AK967" i="3"/>
  <c r="AJ967" i="3"/>
  <c r="AH967" i="3"/>
  <c r="AG967" i="3"/>
  <c r="AF967" i="3"/>
  <c r="AE967" i="3"/>
  <c r="AD967" i="3"/>
  <c r="AC967" i="3"/>
  <c r="Z967" i="3"/>
  <c r="J967" i="3"/>
  <c r="I967" i="3"/>
  <c r="BJ964" i="3"/>
  <c r="BH964" i="3"/>
  <c r="AB964" i="3" s="1"/>
  <c r="BF964" i="3"/>
  <c r="BD964" i="3"/>
  <c r="AX964" i="3"/>
  <c r="AV964" i="3"/>
  <c r="AP964" i="3"/>
  <c r="AO964" i="3"/>
  <c r="AW964" i="3" s="1"/>
  <c r="AK964" i="3"/>
  <c r="AT963" i="3" s="1"/>
  <c r="AJ964" i="3"/>
  <c r="AS963" i="3" s="1"/>
  <c r="AH964" i="3"/>
  <c r="AG964" i="3"/>
  <c r="AF964" i="3"/>
  <c r="AE964" i="3"/>
  <c r="AD964" i="3"/>
  <c r="Z964" i="3"/>
  <c r="J964" i="3"/>
  <c r="H964" i="3"/>
  <c r="BJ961" i="3"/>
  <c r="BF961" i="3"/>
  <c r="BD961" i="3"/>
  <c r="AP961" i="3"/>
  <c r="AO961" i="3"/>
  <c r="AK961" i="3"/>
  <c r="AJ961" i="3"/>
  <c r="AH961" i="3"/>
  <c r="AG961" i="3"/>
  <c r="AF961" i="3"/>
  <c r="AE961" i="3"/>
  <c r="AD961" i="3"/>
  <c r="Z961" i="3"/>
  <c r="J961" i="3"/>
  <c r="AL961" i="3" s="1"/>
  <c r="I961" i="3"/>
  <c r="BJ958" i="3"/>
  <c r="BH958" i="3"/>
  <c r="AB958" i="3" s="1"/>
  <c r="BF958" i="3"/>
  <c r="BD958" i="3"/>
  <c r="AP958" i="3"/>
  <c r="AO958" i="3"/>
  <c r="AW958" i="3" s="1"/>
  <c r="AK958" i="3"/>
  <c r="AJ958" i="3"/>
  <c r="AH958" i="3"/>
  <c r="AG958" i="3"/>
  <c r="AF958" i="3"/>
  <c r="AE958" i="3"/>
  <c r="AD958" i="3"/>
  <c r="Z958" i="3"/>
  <c r="J958" i="3"/>
  <c r="AL958" i="3" s="1"/>
  <c r="H958" i="3"/>
  <c r="BJ956" i="3"/>
  <c r="BI956" i="3"/>
  <c r="BF956" i="3"/>
  <c r="BD956" i="3"/>
  <c r="AW956" i="3"/>
  <c r="AP956" i="3"/>
  <c r="AX956" i="3" s="1"/>
  <c r="AO956" i="3"/>
  <c r="BH956" i="3" s="1"/>
  <c r="AL956" i="3"/>
  <c r="AK956" i="3"/>
  <c r="AJ956" i="3"/>
  <c r="AH956" i="3"/>
  <c r="AG956" i="3"/>
  <c r="AF956" i="3"/>
  <c r="AE956" i="3"/>
  <c r="AD956" i="3"/>
  <c r="AC956" i="3"/>
  <c r="AB956" i="3"/>
  <c r="Z956" i="3"/>
  <c r="J956" i="3"/>
  <c r="I956" i="3"/>
  <c r="H956" i="3"/>
  <c r="BJ954" i="3"/>
  <c r="BF954" i="3"/>
  <c r="BD954" i="3"/>
  <c r="AX954" i="3"/>
  <c r="AP954" i="3"/>
  <c r="BI954" i="3" s="1"/>
  <c r="AC954" i="3" s="1"/>
  <c r="AO954" i="3"/>
  <c r="AK954" i="3"/>
  <c r="AJ954" i="3"/>
  <c r="AH954" i="3"/>
  <c r="AG954" i="3"/>
  <c r="AF954" i="3"/>
  <c r="AE954" i="3"/>
  <c r="AD954" i="3"/>
  <c r="Z954" i="3"/>
  <c r="J954" i="3"/>
  <c r="AL954" i="3" s="1"/>
  <c r="I954" i="3"/>
  <c r="H954" i="3"/>
  <c r="BJ952" i="3"/>
  <c r="BF952" i="3"/>
  <c r="BD952" i="3"/>
  <c r="AP952" i="3"/>
  <c r="AX952" i="3" s="1"/>
  <c r="AO952" i="3"/>
  <c r="AK952" i="3"/>
  <c r="AJ952" i="3"/>
  <c r="AH952" i="3"/>
  <c r="AG952" i="3"/>
  <c r="AF952" i="3"/>
  <c r="AE952" i="3"/>
  <c r="AD952" i="3"/>
  <c r="Z952" i="3"/>
  <c r="J952" i="3"/>
  <c r="AL952" i="3" s="1"/>
  <c r="BJ950" i="3"/>
  <c r="BI950" i="3"/>
  <c r="AC950" i="3" s="1"/>
  <c r="BF950" i="3"/>
  <c r="BD950" i="3"/>
  <c r="AX950" i="3"/>
  <c r="AP950" i="3"/>
  <c r="AO950" i="3"/>
  <c r="AL950" i="3"/>
  <c r="AK950" i="3"/>
  <c r="AJ950" i="3"/>
  <c r="AH950" i="3"/>
  <c r="AG950" i="3"/>
  <c r="AF950" i="3"/>
  <c r="AE950" i="3"/>
  <c r="AD950" i="3"/>
  <c r="Z950" i="3"/>
  <c r="J950" i="3"/>
  <c r="I950" i="3"/>
  <c r="BJ948" i="3"/>
  <c r="BH948" i="3"/>
  <c r="AB948" i="3" s="1"/>
  <c r="BF948" i="3"/>
  <c r="BD948" i="3"/>
  <c r="AP948" i="3"/>
  <c r="AO948" i="3"/>
  <c r="AW948" i="3" s="1"/>
  <c r="AK948" i="3"/>
  <c r="AJ948" i="3"/>
  <c r="AH948" i="3"/>
  <c r="AG948" i="3"/>
  <c r="AF948" i="3"/>
  <c r="AE948" i="3"/>
  <c r="AD948" i="3"/>
  <c r="Z948" i="3"/>
  <c r="J948" i="3"/>
  <c r="AL948" i="3" s="1"/>
  <c r="H948" i="3"/>
  <c r="BJ946" i="3"/>
  <c r="BF946" i="3"/>
  <c r="BD946" i="3"/>
  <c r="AW946" i="3"/>
  <c r="AP946" i="3"/>
  <c r="AO946" i="3"/>
  <c r="BH946" i="3" s="1"/>
  <c r="AL946" i="3"/>
  <c r="AK946" i="3"/>
  <c r="AJ946" i="3"/>
  <c r="AH946" i="3"/>
  <c r="AG946" i="3"/>
  <c r="AF946" i="3"/>
  <c r="AE946" i="3"/>
  <c r="AD946" i="3"/>
  <c r="AB946" i="3"/>
  <c r="Z946" i="3"/>
  <c r="J946" i="3"/>
  <c r="H946" i="3"/>
  <c r="BJ944" i="3"/>
  <c r="BF944" i="3"/>
  <c r="BD944" i="3"/>
  <c r="AX944" i="3"/>
  <c r="AP944" i="3"/>
  <c r="BI944" i="3" s="1"/>
  <c r="AC944" i="3" s="1"/>
  <c r="AO944" i="3"/>
  <c r="AK944" i="3"/>
  <c r="AJ944" i="3"/>
  <c r="AH944" i="3"/>
  <c r="AG944" i="3"/>
  <c r="AF944" i="3"/>
  <c r="AE944" i="3"/>
  <c r="AD944" i="3"/>
  <c r="Z944" i="3"/>
  <c r="J944" i="3"/>
  <c r="AL944" i="3" s="1"/>
  <c r="I944" i="3"/>
  <c r="BJ942" i="3"/>
  <c r="BF942" i="3"/>
  <c r="BD942" i="3"/>
  <c r="AP942" i="3"/>
  <c r="AX942" i="3" s="1"/>
  <c r="AO942" i="3"/>
  <c r="AK942" i="3"/>
  <c r="AJ942" i="3"/>
  <c r="AH942" i="3"/>
  <c r="AG942" i="3"/>
  <c r="AF942" i="3"/>
  <c r="AE942" i="3"/>
  <c r="AD942" i="3"/>
  <c r="Z942" i="3"/>
  <c r="J942" i="3"/>
  <c r="I942" i="3"/>
  <c r="BJ940" i="3"/>
  <c r="BI940" i="3"/>
  <c r="AC940" i="3" s="1"/>
  <c r="BH940" i="3"/>
  <c r="AB940" i="3" s="1"/>
  <c r="BF940" i="3"/>
  <c r="BD940" i="3"/>
  <c r="AX940" i="3"/>
  <c r="AV940" i="3"/>
  <c r="AP940" i="3"/>
  <c r="I940" i="3" s="1"/>
  <c r="AO940" i="3"/>
  <c r="AW940" i="3" s="1"/>
  <c r="BC940" i="3" s="1"/>
  <c r="AK940" i="3"/>
  <c r="AJ940" i="3"/>
  <c r="AH940" i="3"/>
  <c r="AG940" i="3"/>
  <c r="AF940" i="3"/>
  <c r="AE940" i="3"/>
  <c r="AD940" i="3"/>
  <c r="Z940" i="3"/>
  <c r="J940" i="3"/>
  <c r="AL940" i="3" s="1"/>
  <c r="BJ937" i="3"/>
  <c r="BI937" i="3"/>
  <c r="AC937" i="3" s="1"/>
  <c r="BF937" i="3"/>
  <c r="BD937" i="3"/>
  <c r="AW937" i="3"/>
  <c r="BC937" i="3" s="1"/>
  <c r="AV937" i="3"/>
  <c r="AP937" i="3"/>
  <c r="AX937" i="3" s="1"/>
  <c r="AO937" i="3"/>
  <c r="BH937" i="3" s="1"/>
  <c r="AL937" i="3"/>
  <c r="AK937" i="3"/>
  <c r="AT936" i="3" s="1"/>
  <c r="AJ937" i="3"/>
  <c r="AH937" i="3"/>
  <c r="AG937" i="3"/>
  <c r="AF937" i="3"/>
  <c r="AE937" i="3"/>
  <c r="AD937" i="3"/>
  <c r="AB937" i="3"/>
  <c r="Z937" i="3"/>
  <c r="J937" i="3"/>
  <c r="I937" i="3"/>
  <c r="H937" i="3"/>
  <c r="BJ934" i="3"/>
  <c r="BI934" i="3"/>
  <c r="AC934" i="3" s="1"/>
  <c r="BH934" i="3"/>
  <c r="AB934" i="3" s="1"/>
  <c r="BF934" i="3"/>
  <c r="BD934" i="3"/>
  <c r="AX934" i="3"/>
  <c r="AV934" i="3" s="1"/>
  <c r="AP934" i="3"/>
  <c r="I934" i="3" s="1"/>
  <c r="AO934" i="3"/>
  <c r="AW934" i="3" s="1"/>
  <c r="BC934" i="3" s="1"/>
  <c r="AK934" i="3"/>
  <c r="AT924" i="3" s="1"/>
  <c r="AJ934" i="3"/>
  <c r="AH934" i="3"/>
  <c r="AG934" i="3"/>
  <c r="AF934" i="3"/>
  <c r="AE934" i="3"/>
  <c r="AD934" i="3"/>
  <c r="Z934" i="3"/>
  <c r="J934" i="3"/>
  <c r="AL934" i="3" s="1"/>
  <c r="BJ932" i="3"/>
  <c r="BI932" i="3"/>
  <c r="BF932" i="3"/>
  <c r="BD932" i="3"/>
  <c r="AW932" i="3"/>
  <c r="BC932" i="3" s="1"/>
  <c r="AP932" i="3"/>
  <c r="AX932" i="3" s="1"/>
  <c r="AO932" i="3"/>
  <c r="BH932" i="3" s="1"/>
  <c r="AL932" i="3"/>
  <c r="AK932" i="3"/>
  <c r="AJ932" i="3"/>
  <c r="AH932" i="3"/>
  <c r="AG932" i="3"/>
  <c r="AF932" i="3"/>
  <c r="AE932" i="3"/>
  <c r="AD932" i="3"/>
  <c r="AC932" i="3"/>
  <c r="AB932" i="3"/>
  <c r="Z932" i="3"/>
  <c r="J932" i="3"/>
  <c r="I932" i="3"/>
  <c r="H932" i="3"/>
  <c r="BJ930" i="3"/>
  <c r="BH930" i="3"/>
  <c r="BF930" i="3"/>
  <c r="BD930" i="3"/>
  <c r="AX930" i="3"/>
  <c r="AW930" i="3"/>
  <c r="BC930" i="3" s="1"/>
  <c r="AV930" i="3"/>
  <c r="AP930" i="3"/>
  <c r="BI930" i="3" s="1"/>
  <c r="AC930" i="3" s="1"/>
  <c r="AO930" i="3"/>
  <c r="AL930" i="3"/>
  <c r="AK930" i="3"/>
  <c r="AJ930" i="3"/>
  <c r="AH930" i="3"/>
  <c r="AG930" i="3"/>
  <c r="AF930" i="3"/>
  <c r="AE930" i="3"/>
  <c r="AD930" i="3"/>
  <c r="AB930" i="3"/>
  <c r="Z930" i="3"/>
  <c r="J930" i="3"/>
  <c r="I930" i="3"/>
  <c r="H930" i="3"/>
  <c r="BJ928" i="3"/>
  <c r="BH928" i="3"/>
  <c r="AB928" i="3" s="1"/>
  <c r="BF928" i="3"/>
  <c r="BD928" i="3"/>
  <c r="AW928" i="3"/>
  <c r="AP928" i="3"/>
  <c r="AO928" i="3"/>
  <c r="H928" i="3" s="1"/>
  <c r="AK928" i="3"/>
  <c r="AJ928" i="3"/>
  <c r="AH928" i="3"/>
  <c r="AG928" i="3"/>
  <c r="AF928" i="3"/>
  <c r="AE928" i="3"/>
  <c r="AD928" i="3"/>
  <c r="Z928" i="3"/>
  <c r="J928" i="3"/>
  <c r="BJ925" i="3"/>
  <c r="BI925" i="3"/>
  <c r="AC925" i="3" s="1"/>
  <c r="BH925" i="3"/>
  <c r="AB925" i="3" s="1"/>
  <c r="BF925" i="3"/>
  <c r="BD925" i="3"/>
  <c r="AX925" i="3"/>
  <c r="AP925" i="3"/>
  <c r="I925" i="3" s="1"/>
  <c r="AO925" i="3"/>
  <c r="AK925" i="3"/>
  <c r="AJ925" i="3"/>
  <c r="AH925" i="3"/>
  <c r="AG925" i="3"/>
  <c r="AF925" i="3"/>
  <c r="AE925" i="3"/>
  <c r="AD925" i="3"/>
  <c r="Z925" i="3"/>
  <c r="J925" i="3"/>
  <c r="AL925" i="3" s="1"/>
  <c r="BJ922" i="3"/>
  <c r="BH922" i="3"/>
  <c r="AD922" i="3" s="1"/>
  <c r="BF922" i="3"/>
  <c r="BD922" i="3"/>
  <c r="AW922" i="3"/>
  <c r="AP922" i="3"/>
  <c r="AO922" i="3"/>
  <c r="H922" i="3" s="1"/>
  <c r="AL922" i="3"/>
  <c r="AK922" i="3"/>
  <c r="AJ922" i="3"/>
  <c r="AH922" i="3"/>
  <c r="AG922" i="3"/>
  <c r="AF922" i="3"/>
  <c r="AC922" i="3"/>
  <c r="AB922" i="3"/>
  <c r="Z922" i="3"/>
  <c r="J922" i="3"/>
  <c r="BJ920" i="3"/>
  <c r="BF920" i="3"/>
  <c r="BD920" i="3"/>
  <c r="AP920" i="3"/>
  <c r="AO920" i="3"/>
  <c r="AK920" i="3"/>
  <c r="AJ920" i="3"/>
  <c r="AH920" i="3"/>
  <c r="AG920" i="3"/>
  <c r="AF920" i="3"/>
  <c r="AC920" i="3"/>
  <c r="AB920" i="3"/>
  <c r="Z920" i="3"/>
  <c r="J920" i="3"/>
  <c r="AL920" i="3" s="1"/>
  <c r="AU919" i="3" s="1"/>
  <c r="AT919" i="3"/>
  <c r="J919" i="3"/>
  <c r="BJ912" i="3"/>
  <c r="BI912" i="3"/>
  <c r="AE912" i="3" s="1"/>
  <c r="BH912" i="3"/>
  <c r="AD912" i="3" s="1"/>
  <c r="BF912" i="3"/>
  <c r="BD912" i="3"/>
  <c r="AX912" i="3"/>
  <c r="AP912" i="3"/>
  <c r="AO912" i="3"/>
  <c r="AL912" i="3"/>
  <c r="AU911" i="3" s="1"/>
  <c r="AK912" i="3"/>
  <c r="AJ912" i="3"/>
  <c r="AH912" i="3"/>
  <c r="AG912" i="3"/>
  <c r="AF912" i="3"/>
  <c r="AC912" i="3"/>
  <c r="AB912" i="3"/>
  <c r="Z912" i="3"/>
  <c r="J912" i="3"/>
  <c r="J911" i="3" s="1"/>
  <c r="I912" i="3"/>
  <c r="AT911" i="3"/>
  <c r="AS911" i="3"/>
  <c r="I911" i="3"/>
  <c r="BJ910" i="3"/>
  <c r="Z910" i="3" s="1"/>
  <c r="BH910" i="3"/>
  <c r="BF910" i="3"/>
  <c r="BD910" i="3"/>
  <c r="AX910" i="3"/>
  <c r="AW910" i="3"/>
  <c r="BC910" i="3" s="1"/>
  <c r="AP910" i="3"/>
  <c r="BI910" i="3" s="1"/>
  <c r="AO910" i="3"/>
  <c r="AL910" i="3"/>
  <c r="AK910" i="3"/>
  <c r="AJ910" i="3"/>
  <c r="AH910" i="3"/>
  <c r="AG910" i="3"/>
  <c r="AF910" i="3"/>
  <c r="AE910" i="3"/>
  <c r="AD910" i="3"/>
  <c r="AC910" i="3"/>
  <c r="AB910" i="3"/>
  <c r="J910" i="3"/>
  <c r="I910" i="3"/>
  <c r="H910" i="3"/>
  <c r="BJ907" i="3"/>
  <c r="BH907" i="3"/>
  <c r="AD907" i="3" s="1"/>
  <c r="BF907" i="3"/>
  <c r="BD907" i="3"/>
  <c r="AW907" i="3"/>
  <c r="AP907" i="3"/>
  <c r="AO907" i="3"/>
  <c r="H907" i="3" s="1"/>
  <c r="AL907" i="3"/>
  <c r="AK907" i="3"/>
  <c r="AJ907" i="3"/>
  <c r="AH907" i="3"/>
  <c r="AG907" i="3"/>
  <c r="AF907" i="3"/>
  <c r="AC907" i="3"/>
  <c r="AB907" i="3"/>
  <c r="Z907" i="3"/>
  <c r="J907" i="3"/>
  <c r="BJ905" i="3"/>
  <c r="BF905" i="3"/>
  <c r="BD905" i="3"/>
  <c r="AP905" i="3"/>
  <c r="AO905" i="3"/>
  <c r="AK905" i="3"/>
  <c r="AJ905" i="3"/>
  <c r="AH905" i="3"/>
  <c r="AG905" i="3"/>
  <c r="AF905" i="3"/>
  <c r="AC905" i="3"/>
  <c r="AB905" i="3"/>
  <c r="Z905" i="3"/>
  <c r="J905" i="3"/>
  <c r="AL905" i="3" s="1"/>
  <c r="BJ902" i="3"/>
  <c r="BI902" i="3"/>
  <c r="AE902" i="3" s="1"/>
  <c r="BF902" i="3"/>
  <c r="BD902" i="3"/>
  <c r="AW902" i="3"/>
  <c r="AP902" i="3"/>
  <c r="AO902" i="3"/>
  <c r="BH902" i="3" s="1"/>
  <c r="AD902" i="3" s="1"/>
  <c r="AL902" i="3"/>
  <c r="AK902" i="3"/>
  <c r="AJ902" i="3"/>
  <c r="AH902" i="3"/>
  <c r="AG902" i="3"/>
  <c r="AF902" i="3"/>
  <c r="AC902" i="3"/>
  <c r="AB902" i="3"/>
  <c r="Z902" i="3"/>
  <c r="J902" i="3"/>
  <c r="H902" i="3"/>
  <c r="BJ896" i="3"/>
  <c r="BF896" i="3"/>
  <c r="BD896" i="3"/>
  <c r="AX896" i="3"/>
  <c r="AP896" i="3"/>
  <c r="BI896" i="3" s="1"/>
  <c r="AE896" i="3" s="1"/>
  <c r="AO896" i="3"/>
  <c r="AL896" i="3"/>
  <c r="AK896" i="3"/>
  <c r="AJ896" i="3"/>
  <c r="AH896" i="3"/>
  <c r="AG896" i="3"/>
  <c r="AF896" i="3"/>
  <c r="AC896" i="3"/>
  <c r="AB896" i="3"/>
  <c r="Z896" i="3"/>
  <c r="J896" i="3"/>
  <c r="I896" i="3"/>
  <c r="H896" i="3"/>
  <c r="BJ890" i="3"/>
  <c r="BI890" i="3"/>
  <c r="AE890" i="3" s="1"/>
  <c r="BH890" i="3"/>
  <c r="AD890" i="3" s="1"/>
  <c r="BF890" i="3"/>
  <c r="BD890" i="3"/>
  <c r="AX890" i="3"/>
  <c r="AW890" i="3"/>
  <c r="AP890" i="3"/>
  <c r="AO890" i="3"/>
  <c r="H890" i="3" s="1"/>
  <c r="AL890" i="3"/>
  <c r="AU889" i="3" s="1"/>
  <c r="AK890" i="3"/>
  <c r="AJ890" i="3"/>
  <c r="AH890" i="3"/>
  <c r="AG890" i="3"/>
  <c r="AF890" i="3"/>
  <c r="AC890" i="3"/>
  <c r="AB890" i="3"/>
  <c r="Z890" i="3"/>
  <c r="J890" i="3"/>
  <c r="J889" i="3" s="1"/>
  <c r="I890" i="3"/>
  <c r="AS889" i="3"/>
  <c r="BJ888" i="3"/>
  <c r="Z888" i="3" s="1"/>
  <c r="BH888" i="3"/>
  <c r="BF888" i="3"/>
  <c r="BD888" i="3"/>
  <c r="AX888" i="3"/>
  <c r="AW888" i="3"/>
  <c r="AP888" i="3"/>
  <c r="BI888" i="3" s="1"/>
  <c r="AO888" i="3"/>
  <c r="AL888" i="3"/>
  <c r="AK888" i="3"/>
  <c r="AJ888" i="3"/>
  <c r="AH888" i="3"/>
  <c r="AG888" i="3"/>
  <c r="AF888" i="3"/>
  <c r="AE888" i="3"/>
  <c r="AD888" i="3"/>
  <c r="AC888" i="3"/>
  <c r="AB888" i="3"/>
  <c r="J888" i="3"/>
  <c r="I888" i="3"/>
  <c r="H888" i="3"/>
  <c r="BJ885" i="3"/>
  <c r="BF885" i="3"/>
  <c r="BD885" i="3"/>
  <c r="AP885" i="3"/>
  <c r="AO885" i="3"/>
  <c r="AK885" i="3"/>
  <c r="AJ885" i="3"/>
  <c r="AH885" i="3"/>
  <c r="AG885" i="3"/>
  <c r="AF885" i="3"/>
  <c r="AC885" i="3"/>
  <c r="AB885" i="3"/>
  <c r="Z885" i="3"/>
  <c r="J885" i="3"/>
  <c r="BJ882" i="3"/>
  <c r="BF882" i="3"/>
  <c r="BD882" i="3"/>
  <c r="AP882" i="3"/>
  <c r="AO882" i="3"/>
  <c r="AK882" i="3"/>
  <c r="AT881" i="3" s="1"/>
  <c r="AJ882" i="3"/>
  <c r="AH882" i="3"/>
  <c r="AG882" i="3"/>
  <c r="AF882" i="3"/>
  <c r="AC882" i="3"/>
  <c r="AB882" i="3"/>
  <c r="Z882" i="3"/>
  <c r="J882" i="3"/>
  <c r="AL882" i="3" s="1"/>
  <c r="H882" i="3"/>
  <c r="BJ880" i="3"/>
  <c r="BI880" i="3"/>
  <c r="BF880" i="3"/>
  <c r="BD880" i="3"/>
  <c r="AX880" i="3"/>
  <c r="AW880" i="3"/>
  <c r="AP880" i="3"/>
  <c r="AO880" i="3"/>
  <c r="H880" i="3" s="1"/>
  <c r="AK880" i="3"/>
  <c r="AJ880" i="3"/>
  <c r="AH880" i="3"/>
  <c r="AG880" i="3"/>
  <c r="AF880" i="3"/>
  <c r="AE880" i="3"/>
  <c r="AD880" i="3"/>
  <c r="AC880" i="3"/>
  <c r="AB880" i="3"/>
  <c r="Z880" i="3"/>
  <c r="J880" i="3"/>
  <c r="AL880" i="3" s="1"/>
  <c r="I880" i="3"/>
  <c r="BJ877" i="3"/>
  <c r="BH877" i="3"/>
  <c r="AD877" i="3" s="1"/>
  <c r="BF877" i="3"/>
  <c r="BD877" i="3"/>
  <c r="AX877" i="3"/>
  <c r="AV877" i="3"/>
  <c r="AP877" i="3"/>
  <c r="AO877" i="3"/>
  <c r="AW877" i="3" s="1"/>
  <c r="AK877" i="3"/>
  <c r="AJ877" i="3"/>
  <c r="AH877" i="3"/>
  <c r="AG877" i="3"/>
  <c r="AF877" i="3"/>
  <c r="AC877" i="3"/>
  <c r="AB877" i="3"/>
  <c r="Z877" i="3"/>
  <c r="J877" i="3"/>
  <c r="AL877" i="3" s="1"/>
  <c r="H877" i="3"/>
  <c r="BJ874" i="3"/>
  <c r="BI874" i="3"/>
  <c r="AE874" i="3" s="1"/>
  <c r="BF874" i="3"/>
  <c r="BD874" i="3"/>
  <c r="BC874" i="3"/>
  <c r="AW874" i="3"/>
  <c r="AV874" i="3" s="1"/>
  <c r="AP874" i="3"/>
  <c r="AX874" i="3" s="1"/>
  <c r="AO874" i="3"/>
  <c r="BH874" i="3" s="1"/>
  <c r="AD874" i="3" s="1"/>
  <c r="AL874" i="3"/>
  <c r="AK874" i="3"/>
  <c r="AJ874" i="3"/>
  <c r="AH874" i="3"/>
  <c r="AG874" i="3"/>
  <c r="AF874" i="3"/>
  <c r="AC874" i="3"/>
  <c r="AB874" i="3"/>
  <c r="Z874" i="3"/>
  <c r="J874" i="3"/>
  <c r="I874" i="3"/>
  <c r="H874" i="3"/>
  <c r="BJ872" i="3"/>
  <c r="BF872" i="3"/>
  <c r="BD872" i="3"/>
  <c r="AX872" i="3"/>
  <c r="AP872" i="3"/>
  <c r="BI872" i="3" s="1"/>
  <c r="AE872" i="3" s="1"/>
  <c r="AO872" i="3"/>
  <c r="AK872" i="3"/>
  <c r="AJ872" i="3"/>
  <c r="AH872" i="3"/>
  <c r="AG872" i="3"/>
  <c r="AF872" i="3"/>
  <c r="AC872" i="3"/>
  <c r="AB872" i="3"/>
  <c r="Z872" i="3"/>
  <c r="J872" i="3"/>
  <c r="AL872" i="3" s="1"/>
  <c r="I872" i="3"/>
  <c r="BJ869" i="3"/>
  <c r="BI869" i="3"/>
  <c r="AE869" i="3" s="1"/>
  <c r="BH869" i="3"/>
  <c r="AD869" i="3" s="1"/>
  <c r="BF869" i="3"/>
  <c r="BD869" i="3"/>
  <c r="AX869" i="3"/>
  <c r="AP869" i="3"/>
  <c r="AO869" i="3"/>
  <c r="AL869" i="3"/>
  <c r="AK869" i="3"/>
  <c r="AJ869" i="3"/>
  <c r="AH869" i="3"/>
  <c r="AG869" i="3"/>
  <c r="AF869" i="3"/>
  <c r="AC869" i="3"/>
  <c r="AB869" i="3"/>
  <c r="Z869" i="3"/>
  <c r="J869" i="3"/>
  <c r="I869" i="3"/>
  <c r="BJ866" i="3"/>
  <c r="BI866" i="3"/>
  <c r="BF866" i="3"/>
  <c r="BD866" i="3"/>
  <c r="AX866" i="3"/>
  <c r="AV866" i="3"/>
  <c r="AP866" i="3"/>
  <c r="I866" i="3" s="1"/>
  <c r="AO866" i="3"/>
  <c r="AW866" i="3" s="1"/>
  <c r="BC866" i="3" s="1"/>
  <c r="AK866" i="3"/>
  <c r="AJ866" i="3"/>
  <c r="AH866" i="3"/>
  <c r="AG866" i="3"/>
  <c r="AF866" i="3"/>
  <c r="AE866" i="3"/>
  <c r="AC866" i="3"/>
  <c r="AB866" i="3"/>
  <c r="Z866" i="3"/>
  <c r="J866" i="3"/>
  <c r="AL866" i="3" s="1"/>
  <c r="H866" i="3"/>
  <c r="BJ863" i="3"/>
  <c r="BF863" i="3"/>
  <c r="BD863" i="3"/>
  <c r="AW863" i="3"/>
  <c r="AP863" i="3"/>
  <c r="AO863" i="3"/>
  <c r="BH863" i="3" s="1"/>
  <c r="AD863" i="3" s="1"/>
  <c r="AL863" i="3"/>
  <c r="AK863" i="3"/>
  <c r="AJ863" i="3"/>
  <c r="AH863" i="3"/>
  <c r="AG863" i="3"/>
  <c r="AF863" i="3"/>
  <c r="AC863" i="3"/>
  <c r="AB863" i="3"/>
  <c r="Z863" i="3"/>
  <c r="J863" i="3"/>
  <c r="I863" i="3"/>
  <c r="H863" i="3"/>
  <c r="BJ859" i="3"/>
  <c r="BH859" i="3"/>
  <c r="AD859" i="3" s="1"/>
  <c r="BF859" i="3"/>
  <c r="BD859" i="3"/>
  <c r="AX859" i="3"/>
  <c r="AW859" i="3"/>
  <c r="BC859" i="3" s="1"/>
  <c r="AV859" i="3"/>
  <c r="AP859" i="3"/>
  <c r="BI859" i="3" s="1"/>
  <c r="AE859" i="3" s="1"/>
  <c r="AO859" i="3"/>
  <c r="AL859" i="3"/>
  <c r="AK859" i="3"/>
  <c r="AT858" i="3" s="1"/>
  <c r="AJ859" i="3"/>
  <c r="AH859" i="3"/>
  <c r="AG859" i="3"/>
  <c r="AF859" i="3"/>
  <c r="AC859" i="3"/>
  <c r="AB859" i="3"/>
  <c r="Z859" i="3"/>
  <c r="J859" i="3"/>
  <c r="I859" i="3"/>
  <c r="H859" i="3"/>
  <c r="BJ857" i="3"/>
  <c r="Z857" i="3" s="1"/>
  <c r="BI857" i="3"/>
  <c r="BF857" i="3"/>
  <c r="BD857" i="3"/>
  <c r="AW857" i="3"/>
  <c r="AV857" i="3" s="1"/>
  <c r="AP857" i="3"/>
  <c r="AX857" i="3" s="1"/>
  <c r="AO857" i="3"/>
  <c r="BH857" i="3" s="1"/>
  <c r="AL857" i="3"/>
  <c r="AK857" i="3"/>
  <c r="AJ857" i="3"/>
  <c r="AH857" i="3"/>
  <c r="AG857" i="3"/>
  <c r="AF857" i="3"/>
  <c r="AE857" i="3"/>
  <c r="AD857" i="3"/>
  <c r="AC857" i="3"/>
  <c r="AB857" i="3"/>
  <c r="J857" i="3"/>
  <c r="I857" i="3"/>
  <c r="H857" i="3"/>
  <c r="BJ854" i="3"/>
  <c r="BF854" i="3"/>
  <c r="BD854" i="3"/>
  <c r="AX854" i="3"/>
  <c r="AP854" i="3"/>
  <c r="BI854" i="3" s="1"/>
  <c r="AE854" i="3" s="1"/>
  <c r="AO854" i="3"/>
  <c r="BH854" i="3" s="1"/>
  <c r="AD854" i="3" s="1"/>
  <c r="AL854" i="3"/>
  <c r="AK854" i="3"/>
  <c r="AJ854" i="3"/>
  <c r="AH854" i="3"/>
  <c r="AG854" i="3"/>
  <c r="AF854" i="3"/>
  <c r="AC854" i="3"/>
  <c r="AB854" i="3"/>
  <c r="Z854" i="3"/>
  <c r="J854" i="3"/>
  <c r="I854" i="3"/>
  <c r="H854" i="3"/>
  <c r="BJ851" i="3"/>
  <c r="BH851" i="3"/>
  <c r="AD851" i="3" s="1"/>
  <c r="BF851" i="3"/>
  <c r="BD851" i="3"/>
  <c r="AW851" i="3"/>
  <c r="AP851" i="3"/>
  <c r="AO851" i="3"/>
  <c r="H851" i="3" s="1"/>
  <c r="AL851" i="3"/>
  <c r="AK851" i="3"/>
  <c r="AJ851" i="3"/>
  <c r="AH851" i="3"/>
  <c r="AG851" i="3"/>
  <c r="AF851" i="3"/>
  <c r="AC851" i="3"/>
  <c r="AB851" i="3"/>
  <c r="Z851" i="3"/>
  <c r="J851" i="3"/>
  <c r="BJ849" i="3"/>
  <c r="BF849" i="3"/>
  <c r="BD849" i="3"/>
  <c r="AP849" i="3"/>
  <c r="AO849" i="3"/>
  <c r="AK849" i="3"/>
  <c r="AJ849" i="3"/>
  <c r="AH849" i="3"/>
  <c r="AG849" i="3"/>
  <c r="AF849" i="3"/>
  <c r="AC849" i="3"/>
  <c r="AB849" i="3"/>
  <c r="Z849" i="3"/>
  <c r="J849" i="3"/>
  <c r="AL849" i="3" s="1"/>
  <c r="H849" i="3"/>
  <c r="BJ844" i="3"/>
  <c r="BI844" i="3"/>
  <c r="AE844" i="3" s="1"/>
  <c r="BF844" i="3"/>
  <c r="BD844" i="3"/>
  <c r="AW844" i="3"/>
  <c r="AP844" i="3"/>
  <c r="AO844" i="3"/>
  <c r="BH844" i="3" s="1"/>
  <c r="AD844" i="3" s="1"/>
  <c r="AL844" i="3"/>
  <c r="AK844" i="3"/>
  <c r="AJ844" i="3"/>
  <c r="AH844" i="3"/>
  <c r="AG844" i="3"/>
  <c r="AF844" i="3"/>
  <c r="AC844" i="3"/>
  <c r="AB844" i="3"/>
  <c r="Z844" i="3"/>
  <c r="J844" i="3"/>
  <c r="H844" i="3"/>
  <c r="BJ839" i="3"/>
  <c r="BH839" i="3"/>
  <c r="BF839" i="3"/>
  <c r="BD839" i="3"/>
  <c r="AX839" i="3"/>
  <c r="AW839" i="3"/>
  <c r="AP839" i="3"/>
  <c r="BI839" i="3" s="1"/>
  <c r="AE839" i="3" s="1"/>
  <c r="AO839" i="3"/>
  <c r="H839" i="3" s="1"/>
  <c r="AK839" i="3"/>
  <c r="AJ839" i="3"/>
  <c r="AH839" i="3"/>
  <c r="AG839" i="3"/>
  <c r="AF839" i="3"/>
  <c r="AD839" i="3"/>
  <c r="AC839" i="3"/>
  <c r="AB839" i="3"/>
  <c r="Z839" i="3"/>
  <c r="J839" i="3"/>
  <c r="AL839" i="3" s="1"/>
  <c r="I839" i="3"/>
  <c r="BJ832" i="3"/>
  <c r="BI832" i="3"/>
  <c r="AE832" i="3" s="1"/>
  <c r="BF832" i="3"/>
  <c r="BD832" i="3"/>
  <c r="AX832" i="3"/>
  <c r="AP832" i="3"/>
  <c r="AO832" i="3"/>
  <c r="AK832" i="3"/>
  <c r="AJ832" i="3"/>
  <c r="AH832" i="3"/>
  <c r="AG832" i="3"/>
  <c r="AF832" i="3"/>
  <c r="AC832" i="3"/>
  <c r="AB832" i="3"/>
  <c r="Z832" i="3"/>
  <c r="J832" i="3"/>
  <c r="AL832" i="3" s="1"/>
  <c r="I832" i="3"/>
  <c r="BJ828" i="3"/>
  <c r="BH828" i="3"/>
  <c r="BF828" i="3"/>
  <c r="BD828" i="3"/>
  <c r="AP828" i="3"/>
  <c r="AO828" i="3"/>
  <c r="AW828" i="3" s="1"/>
  <c r="AK828" i="3"/>
  <c r="AJ828" i="3"/>
  <c r="AH828" i="3"/>
  <c r="AG828" i="3"/>
  <c r="AF828" i="3"/>
  <c r="AD828" i="3"/>
  <c r="AC828" i="3"/>
  <c r="AB828" i="3"/>
  <c r="Z828" i="3"/>
  <c r="J828" i="3"/>
  <c r="AL828" i="3" s="1"/>
  <c r="H828" i="3"/>
  <c r="J827" i="3"/>
  <c r="BJ826" i="3"/>
  <c r="BF826" i="3"/>
  <c r="BD826" i="3"/>
  <c r="AP826" i="3"/>
  <c r="AO826" i="3"/>
  <c r="AK826" i="3"/>
  <c r="AJ826" i="3"/>
  <c r="AH826" i="3"/>
  <c r="AG826" i="3"/>
  <c r="AF826" i="3"/>
  <c r="AE826" i="3"/>
  <c r="AD826" i="3"/>
  <c r="AC826" i="3"/>
  <c r="AB826" i="3"/>
  <c r="Z826" i="3"/>
  <c r="J826" i="3"/>
  <c r="AL826" i="3" s="1"/>
  <c r="BJ823" i="3"/>
  <c r="BF823" i="3"/>
  <c r="BD823" i="3"/>
  <c r="AP823" i="3"/>
  <c r="AO823" i="3"/>
  <c r="AK823" i="3"/>
  <c r="AJ823" i="3"/>
  <c r="AH823" i="3"/>
  <c r="AG823" i="3"/>
  <c r="AF823" i="3"/>
  <c r="AC823" i="3"/>
  <c r="AB823" i="3"/>
  <c r="Z823" i="3"/>
  <c r="J823" i="3"/>
  <c r="AL823" i="3" s="1"/>
  <c r="H823" i="3"/>
  <c r="BJ821" i="3"/>
  <c r="BF821" i="3"/>
  <c r="BD821" i="3"/>
  <c r="AW821" i="3"/>
  <c r="AP821" i="3"/>
  <c r="AO821" i="3"/>
  <c r="BH821" i="3" s="1"/>
  <c r="AD821" i="3" s="1"/>
  <c r="AL821" i="3"/>
  <c r="AK821" i="3"/>
  <c r="AJ821" i="3"/>
  <c r="AH821" i="3"/>
  <c r="AG821" i="3"/>
  <c r="AF821" i="3"/>
  <c r="AC821" i="3"/>
  <c r="AB821" i="3"/>
  <c r="Z821" i="3"/>
  <c r="J821" i="3"/>
  <c r="I821" i="3"/>
  <c r="H821" i="3"/>
  <c r="BJ818" i="3"/>
  <c r="BF818" i="3"/>
  <c r="BD818" i="3"/>
  <c r="AX818" i="3"/>
  <c r="AP818" i="3"/>
  <c r="BI818" i="3" s="1"/>
  <c r="AE818" i="3" s="1"/>
  <c r="AO818" i="3"/>
  <c r="BH818" i="3" s="1"/>
  <c r="AD818" i="3" s="1"/>
  <c r="AL818" i="3"/>
  <c r="AK818" i="3"/>
  <c r="AJ818" i="3"/>
  <c r="AH818" i="3"/>
  <c r="AG818" i="3"/>
  <c r="AF818" i="3"/>
  <c r="AC818" i="3"/>
  <c r="AB818" i="3"/>
  <c r="Z818" i="3"/>
  <c r="J818" i="3"/>
  <c r="I818" i="3"/>
  <c r="H818" i="3"/>
  <c r="BJ815" i="3"/>
  <c r="BH815" i="3"/>
  <c r="AD815" i="3" s="1"/>
  <c r="BF815" i="3"/>
  <c r="BD815" i="3"/>
  <c r="AW815" i="3"/>
  <c r="AP815" i="3"/>
  <c r="AO815" i="3"/>
  <c r="H815" i="3" s="1"/>
  <c r="AL815" i="3"/>
  <c r="AK815" i="3"/>
  <c r="AJ815" i="3"/>
  <c r="AH815" i="3"/>
  <c r="AG815" i="3"/>
  <c r="AF815" i="3"/>
  <c r="AC815" i="3"/>
  <c r="AB815" i="3"/>
  <c r="Z815" i="3"/>
  <c r="J815" i="3"/>
  <c r="BJ812" i="3"/>
  <c r="BF812" i="3"/>
  <c r="BD812" i="3"/>
  <c r="AP812" i="3"/>
  <c r="AO812" i="3"/>
  <c r="AK812" i="3"/>
  <c r="AJ812" i="3"/>
  <c r="AH812" i="3"/>
  <c r="AG812" i="3"/>
  <c r="AF812" i="3"/>
  <c r="AC812" i="3"/>
  <c r="AB812" i="3"/>
  <c r="Z812" i="3"/>
  <c r="J812" i="3"/>
  <c r="AL812" i="3" s="1"/>
  <c r="H812" i="3"/>
  <c r="BJ810" i="3"/>
  <c r="BI810" i="3"/>
  <c r="AE810" i="3" s="1"/>
  <c r="BF810" i="3"/>
  <c r="BD810" i="3"/>
  <c r="AW810" i="3"/>
  <c r="AP810" i="3"/>
  <c r="AO810" i="3"/>
  <c r="BH810" i="3" s="1"/>
  <c r="AD810" i="3" s="1"/>
  <c r="AL810" i="3"/>
  <c r="AK810" i="3"/>
  <c r="AJ810" i="3"/>
  <c r="AH810" i="3"/>
  <c r="AG810" i="3"/>
  <c r="AF810" i="3"/>
  <c r="AC810" i="3"/>
  <c r="AB810" i="3"/>
  <c r="Z810" i="3"/>
  <c r="J810" i="3"/>
  <c r="H810" i="3"/>
  <c r="BJ807" i="3"/>
  <c r="BH807" i="3"/>
  <c r="BF807" i="3"/>
  <c r="BD807" i="3"/>
  <c r="AX807" i="3"/>
  <c r="AW807" i="3"/>
  <c r="AP807" i="3"/>
  <c r="BI807" i="3" s="1"/>
  <c r="AE807" i="3" s="1"/>
  <c r="AO807" i="3"/>
  <c r="H807" i="3" s="1"/>
  <c r="AK807" i="3"/>
  <c r="AJ807" i="3"/>
  <c r="AH807" i="3"/>
  <c r="AG807" i="3"/>
  <c r="AF807" i="3"/>
  <c r="AD807" i="3"/>
  <c r="AC807" i="3"/>
  <c r="AB807" i="3"/>
  <c r="Z807" i="3"/>
  <c r="J807" i="3"/>
  <c r="AL807" i="3" s="1"/>
  <c r="I807" i="3"/>
  <c r="BJ805" i="3"/>
  <c r="BI805" i="3"/>
  <c r="AE805" i="3" s="1"/>
  <c r="BF805" i="3"/>
  <c r="BD805" i="3"/>
  <c r="AX805" i="3"/>
  <c r="AP805" i="3"/>
  <c r="AO805" i="3"/>
  <c r="AK805" i="3"/>
  <c r="AJ805" i="3"/>
  <c r="AH805" i="3"/>
  <c r="AG805" i="3"/>
  <c r="AF805" i="3"/>
  <c r="AC805" i="3"/>
  <c r="AB805" i="3"/>
  <c r="Z805" i="3"/>
  <c r="J805" i="3"/>
  <c r="AL805" i="3" s="1"/>
  <c r="I805" i="3"/>
  <c r="BJ803" i="3"/>
  <c r="BH803" i="3"/>
  <c r="BF803" i="3"/>
  <c r="BD803" i="3"/>
  <c r="AP803" i="3"/>
  <c r="AO803" i="3"/>
  <c r="AW803" i="3" s="1"/>
  <c r="AK803" i="3"/>
  <c r="AJ803" i="3"/>
  <c r="AH803" i="3"/>
  <c r="AG803" i="3"/>
  <c r="AF803" i="3"/>
  <c r="AD803" i="3"/>
  <c r="AC803" i="3"/>
  <c r="AB803" i="3"/>
  <c r="Z803" i="3"/>
  <c r="J803" i="3"/>
  <c r="AL803" i="3" s="1"/>
  <c r="H803" i="3"/>
  <c r="BJ801" i="3"/>
  <c r="BI801" i="3"/>
  <c r="AE801" i="3" s="1"/>
  <c r="BF801" i="3"/>
  <c r="BD801" i="3"/>
  <c r="BC801" i="3"/>
  <c r="AW801" i="3"/>
  <c r="AV801" i="3"/>
  <c r="AP801" i="3"/>
  <c r="AX801" i="3" s="1"/>
  <c r="AO801" i="3"/>
  <c r="BH801" i="3" s="1"/>
  <c r="AD801" i="3" s="1"/>
  <c r="AL801" i="3"/>
  <c r="AK801" i="3"/>
  <c r="AJ801" i="3"/>
  <c r="AH801" i="3"/>
  <c r="AG801" i="3"/>
  <c r="AF801" i="3"/>
  <c r="AC801" i="3"/>
  <c r="AB801" i="3"/>
  <c r="Z801" i="3"/>
  <c r="J801" i="3"/>
  <c r="I801" i="3"/>
  <c r="H801" i="3"/>
  <c r="BJ799" i="3"/>
  <c r="BF799" i="3"/>
  <c r="BD799" i="3"/>
  <c r="AX799" i="3"/>
  <c r="AP799" i="3"/>
  <c r="BI799" i="3" s="1"/>
  <c r="AE799" i="3" s="1"/>
  <c r="AO799" i="3"/>
  <c r="AK799" i="3"/>
  <c r="AJ799" i="3"/>
  <c r="AH799" i="3"/>
  <c r="AG799" i="3"/>
  <c r="AF799" i="3"/>
  <c r="AC799" i="3"/>
  <c r="AB799" i="3"/>
  <c r="Z799" i="3"/>
  <c r="J799" i="3"/>
  <c r="AL799" i="3" s="1"/>
  <c r="I799" i="3"/>
  <c r="BJ797" i="3"/>
  <c r="BF797" i="3"/>
  <c r="BD797" i="3"/>
  <c r="AP797" i="3"/>
  <c r="AO797" i="3"/>
  <c r="AK797" i="3"/>
  <c r="AJ797" i="3"/>
  <c r="AH797" i="3"/>
  <c r="AG797" i="3"/>
  <c r="AF797" i="3"/>
  <c r="AC797" i="3"/>
  <c r="AB797" i="3"/>
  <c r="Z797" i="3"/>
  <c r="J797" i="3"/>
  <c r="AL797" i="3" s="1"/>
  <c r="BJ795" i="3"/>
  <c r="BI795" i="3"/>
  <c r="AE795" i="3" s="1"/>
  <c r="BF795" i="3"/>
  <c r="BD795" i="3"/>
  <c r="AX795" i="3"/>
  <c r="AP795" i="3"/>
  <c r="I795" i="3" s="1"/>
  <c r="AO795" i="3"/>
  <c r="AK795" i="3"/>
  <c r="AJ795" i="3"/>
  <c r="AH795" i="3"/>
  <c r="AG795" i="3"/>
  <c r="AF795" i="3"/>
  <c r="AC795" i="3"/>
  <c r="AB795" i="3"/>
  <c r="Z795" i="3"/>
  <c r="J795" i="3"/>
  <c r="AL795" i="3" s="1"/>
  <c r="BJ793" i="3"/>
  <c r="BI793" i="3"/>
  <c r="AE793" i="3" s="1"/>
  <c r="BF793" i="3"/>
  <c r="BD793" i="3"/>
  <c r="BC793" i="3"/>
  <c r="AW793" i="3"/>
  <c r="AV793" i="3" s="1"/>
  <c r="AP793" i="3"/>
  <c r="AX793" i="3" s="1"/>
  <c r="AO793" i="3"/>
  <c r="BH793" i="3" s="1"/>
  <c r="AD793" i="3" s="1"/>
  <c r="AL793" i="3"/>
  <c r="AK793" i="3"/>
  <c r="AJ793" i="3"/>
  <c r="AH793" i="3"/>
  <c r="AG793" i="3"/>
  <c r="AF793" i="3"/>
  <c r="AC793" i="3"/>
  <c r="AB793" i="3"/>
  <c r="Z793" i="3"/>
  <c r="J793" i="3"/>
  <c r="H793" i="3"/>
  <c r="BJ791" i="3"/>
  <c r="BH791" i="3"/>
  <c r="BF791" i="3"/>
  <c r="BD791" i="3"/>
  <c r="AX791" i="3"/>
  <c r="AW791" i="3"/>
  <c r="BC791" i="3" s="1"/>
  <c r="AP791" i="3"/>
  <c r="BI791" i="3" s="1"/>
  <c r="AE791" i="3" s="1"/>
  <c r="AO791" i="3"/>
  <c r="AK791" i="3"/>
  <c r="AJ791" i="3"/>
  <c r="AH791" i="3"/>
  <c r="AG791" i="3"/>
  <c r="AF791" i="3"/>
  <c r="AD791" i="3"/>
  <c r="AC791" i="3"/>
  <c r="AB791" i="3"/>
  <c r="Z791" i="3"/>
  <c r="J791" i="3"/>
  <c r="AL791" i="3" s="1"/>
  <c r="I791" i="3"/>
  <c r="H791" i="3"/>
  <c r="BJ789" i="3"/>
  <c r="BF789" i="3"/>
  <c r="BD789" i="3"/>
  <c r="AW789" i="3"/>
  <c r="AP789" i="3"/>
  <c r="AO789" i="3"/>
  <c r="AK789" i="3"/>
  <c r="AJ789" i="3"/>
  <c r="AH789" i="3"/>
  <c r="AG789" i="3"/>
  <c r="AF789" i="3"/>
  <c r="AC789" i="3"/>
  <c r="AB789" i="3"/>
  <c r="Z789" i="3"/>
  <c r="J789" i="3"/>
  <c r="AL789" i="3" s="1"/>
  <c r="BJ787" i="3"/>
  <c r="BH787" i="3"/>
  <c r="AD787" i="3" s="1"/>
  <c r="BF787" i="3"/>
  <c r="BD787" i="3"/>
  <c r="AP787" i="3"/>
  <c r="AO787" i="3"/>
  <c r="AW787" i="3" s="1"/>
  <c r="AK787" i="3"/>
  <c r="AJ787" i="3"/>
  <c r="AH787" i="3"/>
  <c r="AG787" i="3"/>
  <c r="AF787" i="3"/>
  <c r="AC787" i="3"/>
  <c r="AB787" i="3"/>
  <c r="Z787" i="3"/>
  <c r="J787" i="3"/>
  <c r="AL787" i="3" s="1"/>
  <c r="H787" i="3"/>
  <c r="BJ785" i="3"/>
  <c r="BF785" i="3"/>
  <c r="BD785" i="3"/>
  <c r="AW785" i="3"/>
  <c r="AP785" i="3"/>
  <c r="I785" i="3" s="1"/>
  <c r="AO785" i="3"/>
  <c r="BH785" i="3" s="1"/>
  <c r="AD785" i="3" s="1"/>
  <c r="AL785" i="3"/>
  <c r="AK785" i="3"/>
  <c r="AJ785" i="3"/>
  <c r="AH785" i="3"/>
  <c r="AG785" i="3"/>
  <c r="AF785" i="3"/>
  <c r="AC785" i="3"/>
  <c r="AB785" i="3"/>
  <c r="Z785" i="3"/>
  <c r="J785" i="3"/>
  <c r="H785" i="3"/>
  <c r="BJ783" i="3"/>
  <c r="BH783" i="3"/>
  <c r="AD783" i="3" s="1"/>
  <c r="BF783" i="3"/>
  <c r="BD783" i="3"/>
  <c r="AX783" i="3"/>
  <c r="AW783" i="3"/>
  <c r="BC783" i="3" s="1"/>
  <c r="AP783" i="3"/>
  <c r="BI783" i="3" s="1"/>
  <c r="AE783" i="3" s="1"/>
  <c r="AO783" i="3"/>
  <c r="AL783" i="3"/>
  <c r="AK783" i="3"/>
  <c r="AJ783" i="3"/>
  <c r="AH783" i="3"/>
  <c r="AG783" i="3"/>
  <c r="AF783" i="3"/>
  <c r="AC783" i="3"/>
  <c r="AB783" i="3"/>
  <c r="Z783" i="3"/>
  <c r="J783" i="3"/>
  <c r="I783" i="3"/>
  <c r="H783" i="3"/>
  <c r="BJ781" i="3"/>
  <c r="BH781" i="3"/>
  <c r="AD781" i="3" s="1"/>
  <c r="BF781" i="3"/>
  <c r="BD781" i="3"/>
  <c r="AW781" i="3"/>
  <c r="AP781" i="3"/>
  <c r="I781" i="3" s="1"/>
  <c r="AO781" i="3"/>
  <c r="H781" i="3" s="1"/>
  <c r="AL781" i="3"/>
  <c r="AK781" i="3"/>
  <c r="AJ781" i="3"/>
  <c r="AH781" i="3"/>
  <c r="AG781" i="3"/>
  <c r="AF781" i="3"/>
  <c r="AC781" i="3"/>
  <c r="AB781" i="3"/>
  <c r="Z781" i="3"/>
  <c r="J781" i="3"/>
  <c r="BJ779" i="3"/>
  <c r="BF779" i="3"/>
  <c r="BD779" i="3"/>
  <c r="AP779" i="3"/>
  <c r="AO779" i="3"/>
  <c r="H779" i="3" s="1"/>
  <c r="AK779" i="3"/>
  <c r="AJ779" i="3"/>
  <c r="AH779" i="3"/>
  <c r="AG779" i="3"/>
  <c r="AF779" i="3"/>
  <c r="AC779" i="3"/>
  <c r="AB779" i="3"/>
  <c r="Z779" i="3"/>
  <c r="J779" i="3"/>
  <c r="AL779" i="3" s="1"/>
  <c r="BJ777" i="3"/>
  <c r="BF777" i="3"/>
  <c r="BD777" i="3"/>
  <c r="AW777" i="3"/>
  <c r="AP777" i="3"/>
  <c r="AO777" i="3"/>
  <c r="BH777" i="3" s="1"/>
  <c r="AD777" i="3" s="1"/>
  <c r="AL777" i="3"/>
  <c r="AK777" i="3"/>
  <c r="AJ777" i="3"/>
  <c r="AH777" i="3"/>
  <c r="AG777" i="3"/>
  <c r="AF777" i="3"/>
  <c r="AC777" i="3"/>
  <c r="AB777" i="3"/>
  <c r="Z777" i="3"/>
  <c r="J777" i="3"/>
  <c r="H777" i="3"/>
  <c r="BJ775" i="3"/>
  <c r="BF775" i="3"/>
  <c r="BD775" i="3"/>
  <c r="AX775" i="3"/>
  <c r="AP775" i="3"/>
  <c r="BI775" i="3" s="1"/>
  <c r="AE775" i="3" s="1"/>
  <c r="AO775" i="3"/>
  <c r="AK775" i="3"/>
  <c r="AJ775" i="3"/>
  <c r="AH775" i="3"/>
  <c r="AG775" i="3"/>
  <c r="AF775" i="3"/>
  <c r="AC775" i="3"/>
  <c r="AB775" i="3"/>
  <c r="Z775" i="3"/>
  <c r="J775" i="3"/>
  <c r="AL775" i="3" s="1"/>
  <c r="I775" i="3"/>
  <c r="BJ773" i="3"/>
  <c r="BI773" i="3"/>
  <c r="AE773" i="3" s="1"/>
  <c r="BH773" i="3"/>
  <c r="AD773" i="3" s="1"/>
  <c r="BF773" i="3"/>
  <c r="BD773" i="3"/>
  <c r="AX773" i="3"/>
  <c r="AP773" i="3"/>
  <c r="AO773" i="3"/>
  <c r="AL773" i="3"/>
  <c r="AU772" i="3" s="1"/>
  <c r="AK773" i="3"/>
  <c r="AJ773" i="3"/>
  <c r="AH773" i="3"/>
  <c r="AG773" i="3"/>
  <c r="AF773" i="3"/>
  <c r="AC773" i="3"/>
  <c r="AB773" i="3"/>
  <c r="Z773" i="3"/>
  <c r="J773" i="3"/>
  <c r="I773" i="3"/>
  <c r="BJ771" i="3"/>
  <c r="Z771" i="3" s="1"/>
  <c r="BH771" i="3"/>
  <c r="BF771" i="3"/>
  <c r="BD771" i="3"/>
  <c r="AX771" i="3"/>
  <c r="AW771" i="3"/>
  <c r="BC771" i="3" s="1"/>
  <c r="AP771" i="3"/>
  <c r="BI771" i="3" s="1"/>
  <c r="AO771" i="3"/>
  <c r="AK771" i="3"/>
  <c r="AJ771" i="3"/>
  <c r="AH771" i="3"/>
  <c r="AG771" i="3"/>
  <c r="AF771" i="3"/>
  <c r="AE771" i="3"/>
  <c r="AD771" i="3"/>
  <c r="AC771" i="3"/>
  <c r="AB771" i="3"/>
  <c r="J771" i="3"/>
  <c r="AL771" i="3" s="1"/>
  <c r="I771" i="3"/>
  <c r="H771" i="3"/>
  <c r="BJ769" i="3"/>
  <c r="BF769" i="3"/>
  <c r="BD769" i="3"/>
  <c r="AW769" i="3"/>
  <c r="AP769" i="3"/>
  <c r="AO769" i="3"/>
  <c r="AK769" i="3"/>
  <c r="AJ769" i="3"/>
  <c r="AH769" i="3"/>
  <c r="AG769" i="3"/>
  <c r="AF769" i="3"/>
  <c r="AC769" i="3"/>
  <c r="AB769" i="3"/>
  <c r="Z769" i="3"/>
  <c r="J769" i="3"/>
  <c r="AL769" i="3" s="1"/>
  <c r="BJ767" i="3"/>
  <c r="BH767" i="3"/>
  <c r="AD767" i="3" s="1"/>
  <c r="BF767" i="3"/>
  <c r="BD767" i="3"/>
  <c r="AP767" i="3"/>
  <c r="AX767" i="3" s="1"/>
  <c r="AO767" i="3"/>
  <c r="AW767" i="3" s="1"/>
  <c r="BC767" i="3" s="1"/>
  <c r="AK767" i="3"/>
  <c r="AJ767" i="3"/>
  <c r="AH767" i="3"/>
  <c r="AG767" i="3"/>
  <c r="AF767" i="3"/>
  <c r="AC767" i="3"/>
  <c r="AB767" i="3"/>
  <c r="Z767" i="3"/>
  <c r="J767" i="3"/>
  <c r="H767" i="3"/>
  <c r="BJ765" i="3"/>
  <c r="BF765" i="3"/>
  <c r="BD765" i="3"/>
  <c r="AW765" i="3"/>
  <c r="AP765" i="3"/>
  <c r="I765" i="3" s="1"/>
  <c r="AO765" i="3"/>
  <c r="BH765" i="3" s="1"/>
  <c r="AD765" i="3" s="1"/>
  <c r="AL765" i="3"/>
  <c r="AK765" i="3"/>
  <c r="AJ765" i="3"/>
  <c r="AH765" i="3"/>
  <c r="AG765" i="3"/>
  <c r="AF765" i="3"/>
  <c r="AC765" i="3"/>
  <c r="AB765" i="3"/>
  <c r="Z765" i="3"/>
  <c r="J765" i="3"/>
  <c r="H765" i="3"/>
  <c r="BJ763" i="3"/>
  <c r="BH763" i="3"/>
  <c r="AD763" i="3" s="1"/>
  <c r="BF763" i="3"/>
  <c r="BD763" i="3"/>
  <c r="AX763" i="3"/>
  <c r="AW763" i="3"/>
  <c r="BC763" i="3" s="1"/>
  <c r="AP763" i="3"/>
  <c r="BI763" i="3" s="1"/>
  <c r="AE763" i="3" s="1"/>
  <c r="AO763" i="3"/>
  <c r="AL763" i="3"/>
  <c r="AK763" i="3"/>
  <c r="AJ763" i="3"/>
  <c r="AH763" i="3"/>
  <c r="AG763" i="3"/>
  <c r="AF763" i="3"/>
  <c r="AC763" i="3"/>
  <c r="AB763" i="3"/>
  <c r="Z763" i="3"/>
  <c r="J763" i="3"/>
  <c r="I763" i="3"/>
  <c r="H763" i="3"/>
  <c r="BJ761" i="3"/>
  <c r="BH761" i="3"/>
  <c r="AD761" i="3" s="1"/>
  <c r="BF761" i="3"/>
  <c r="BD761" i="3"/>
  <c r="AX761" i="3"/>
  <c r="AW761" i="3"/>
  <c r="AP761" i="3"/>
  <c r="BI761" i="3" s="1"/>
  <c r="AO761" i="3"/>
  <c r="H761" i="3" s="1"/>
  <c r="AL761" i="3"/>
  <c r="AK761" i="3"/>
  <c r="AJ761" i="3"/>
  <c r="AH761" i="3"/>
  <c r="AG761" i="3"/>
  <c r="AF761" i="3"/>
  <c r="AE761" i="3"/>
  <c r="AC761" i="3"/>
  <c r="AB761" i="3"/>
  <c r="Z761" i="3"/>
  <c r="J761" i="3"/>
  <c r="BJ759" i="3"/>
  <c r="BI759" i="3"/>
  <c r="BF759" i="3"/>
  <c r="BD759" i="3"/>
  <c r="AP759" i="3"/>
  <c r="AO759" i="3"/>
  <c r="AK759" i="3"/>
  <c r="AJ759" i="3"/>
  <c r="AS753" i="3" s="1"/>
  <c r="AH759" i="3"/>
  <c r="AG759" i="3"/>
  <c r="AF759" i="3"/>
  <c r="AE759" i="3"/>
  <c r="AC759" i="3"/>
  <c r="AB759" i="3"/>
  <c r="Z759" i="3"/>
  <c r="J759" i="3"/>
  <c r="AL759" i="3" s="1"/>
  <c r="H759" i="3"/>
  <c r="BJ756" i="3"/>
  <c r="BI756" i="3"/>
  <c r="AE756" i="3" s="1"/>
  <c r="BF756" i="3"/>
  <c r="BD756" i="3"/>
  <c r="AW756" i="3"/>
  <c r="AP756" i="3"/>
  <c r="AO756" i="3"/>
  <c r="BH756" i="3" s="1"/>
  <c r="AD756" i="3" s="1"/>
  <c r="AL756" i="3"/>
  <c r="AK756" i="3"/>
  <c r="AT753" i="3" s="1"/>
  <c r="AJ756" i="3"/>
  <c r="AH756" i="3"/>
  <c r="AG756" i="3"/>
  <c r="AF756" i="3"/>
  <c r="AC756" i="3"/>
  <c r="AB756" i="3"/>
  <c r="Z756" i="3"/>
  <c r="J756" i="3"/>
  <c r="H756" i="3"/>
  <c r="BJ754" i="3"/>
  <c r="BH754" i="3"/>
  <c r="AD754" i="3" s="1"/>
  <c r="BF754" i="3"/>
  <c r="BD754" i="3"/>
  <c r="AX754" i="3"/>
  <c r="AW754" i="3"/>
  <c r="AP754" i="3"/>
  <c r="BI754" i="3" s="1"/>
  <c r="AE754" i="3" s="1"/>
  <c r="AO754" i="3"/>
  <c r="AL754" i="3"/>
  <c r="AK754" i="3"/>
  <c r="AJ754" i="3"/>
  <c r="AH754" i="3"/>
  <c r="AG754" i="3"/>
  <c r="AF754" i="3"/>
  <c r="AC754" i="3"/>
  <c r="AB754" i="3"/>
  <c r="Z754" i="3"/>
  <c r="J754" i="3"/>
  <c r="I754" i="3"/>
  <c r="H754" i="3"/>
  <c r="BJ752" i="3"/>
  <c r="BI752" i="3"/>
  <c r="BF752" i="3"/>
  <c r="BD752" i="3"/>
  <c r="AW752" i="3"/>
  <c r="BC752" i="3" s="1"/>
  <c r="AV752" i="3"/>
  <c r="AP752" i="3"/>
  <c r="AX752" i="3" s="1"/>
  <c r="AO752" i="3"/>
  <c r="BH752" i="3" s="1"/>
  <c r="AL752" i="3"/>
  <c r="AK752" i="3"/>
  <c r="AJ752" i="3"/>
  <c r="AH752" i="3"/>
  <c r="AG752" i="3"/>
  <c r="AF752" i="3"/>
  <c r="AE752" i="3"/>
  <c r="AD752" i="3"/>
  <c r="AC752" i="3"/>
  <c r="AB752" i="3"/>
  <c r="Z752" i="3"/>
  <c r="J752" i="3"/>
  <c r="I752" i="3"/>
  <c r="H752" i="3"/>
  <c r="BJ750" i="3"/>
  <c r="BF750" i="3"/>
  <c r="BD750" i="3"/>
  <c r="AX750" i="3"/>
  <c r="AP750" i="3"/>
  <c r="BI750" i="3" s="1"/>
  <c r="AE750" i="3" s="1"/>
  <c r="AO750" i="3"/>
  <c r="AK750" i="3"/>
  <c r="AJ750" i="3"/>
  <c r="AH750" i="3"/>
  <c r="AG750" i="3"/>
  <c r="AF750" i="3"/>
  <c r="AC750" i="3"/>
  <c r="AB750" i="3"/>
  <c r="Z750" i="3"/>
  <c r="J750" i="3"/>
  <c r="AL750" i="3" s="1"/>
  <c r="I750" i="3"/>
  <c r="BJ748" i="3"/>
  <c r="BI748" i="3"/>
  <c r="AE748" i="3" s="1"/>
  <c r="BF748" i="3"/>
  <c r="BD748" i="3"/>
  <c r="AX748" i="3"/>
  <c r="AP748" i="3"/>
  <c r="AO748" i="3"/>
  <c r="AK748" i="3"/>
  <c r="AJ748" i="3"/>
  <c r="AH748" i="3"/>
  <c r="AG748" i="3"/>
  <c r="AF748" i="3"/>
  <c r="AC748" i="3"/>
  <c r="AB748" i="3"/>
  <c r="Z748" i="3"/>
  <c r="J748" i="3"/>
  <c r="AL748" i="3" s="1"/>
  <c r="I748" i="3"/>
  <c r="BJ746" i="3"/>
  <c r="BI746" i="3"/>
  <c r="BH746" i="3"/>
  <c r="AD746" i="3" s="1"/>
  <c r="BF746" i="3"/>
  <c r="BD746" i="3"/>
  <c r="AX746" i="3"/>
  <c r="AV746" i="3"/>
  <c r="AP746" i="3"/>
  <c r="AO746" i="3"/>
  <c r="AW746" i="3" s="1"/>
  <c r="BC746" i="3" s="1"/>
  <c r="AK746" i="3"/>
  <c r="AJ746" i="3"/>
  <c r="AH746" i="3"/>
  <c r="AG746" i="3"/>
  <c r="AF746" i="3"/>
  <c r="AE746" i="3"/>
  <c r="AC746" i="3"/>
  <c r="AB746" i="3"/>
  <c r="Z746" i="3"/>
  <c r="J746" i="3"/>
  <c r="AL746" i="3" s="1"/>
  <c r="I746" i="3"/>
  <c r="H746" i="3"/>
  <c r="BJ743" i="3"/>
  <c r="BH743" i="3"/>
  <c r="AD743" i="3" s="1"/>
  <c r="BF743" i="3"/>
  <c r="BD743" i="3"/>
  <c r="AX743" i="3"/>
  <c r="AW743" i="3"/>
  <c r="AP743" i="3"/>
  <c r="BI743" i="3" s="1"/>
  <c r="AE743" i="3" s="1"/>
  <c r="AO743" i="3"/>
  <c r="AL743" i="3"/>
  <c r="AK743" i="3"/>
  <c r="AJ743" i="3"/>
  <c r="AH743" i="3"/>
  <c r="AG743" i="3"/>
  <c r="AF743" i="3"/>
  <c r="AC743" i="3"/>
  <c r="AB743" i="3"/>
  <c r="Z743" i="3"/>
  <c r="J743" i="3"/>
  <c r="I743" i="3"/>
  <c r="H743" i="3"/>
  <c r="BJ741" i="3"/>
  <c r="BH741" i="3"/>
  <c r="AD741" i="3" s="1"/>
  <c r="BF741" i="3"/>
  <c r="BD741" i="3"/>
  <c r="AX741" i="3"/>
  <c r="AW741" i="3"/>
  <c r="AP741" i="3"/>
  <c r="BI741" i="3" s="1"/>
  <c r="AE741" i="3" s="1"/>
  <c r="AO741" i="3"/>
  <c r="H741" i="3" s="1"/>
  <c r="AL741" i="3"/>
  <c r="AK741" i="3"/>
  <c r="AJ741" i="3"/>
  <c r="AH741" i="3"/>
  <c r="AG741" i="3"/>
  <c r="AF741" i="3"/>
  <c r="AC741" i="3"/>
  <c r="AB741" i="3"/>
  <c r="Z741" i="3"/>
  <c r="J741" i="3"/>
  <c r="I741" i="3"/>
  <c r="BJ739" i="3"/>
  <c r="BF739" i="3"/>
  <c r="BD739" i="3"/>
  <c r="AP739" i="3"/>
  <c r="AO739" i="3"/>
  <c r="AW739" i="3" s="1"/>
  <c r="AK739" i="3"/>
  <c r="AJ739" i="3"/>
  <c r="AH739" i="3"/>
  <c r="AG739" i="3"/>
  <c r="AF739" i="3"/>
  <c r="AC739" i="3"/>
  <c r="AB739" i="3"/>
  <c r="Z739" i="3"/>
  <c r="J739" i="3"/>
  <c r="AL739" i="3" s="1"/>
  <c r="H739" i="3"/>
  <c r="BJ737" i="3"/>
  <c r="BI737" i="3"/>
  <c r="AE737" i="3" s="1"/>
  <c r="BF737" i="3"/>
  <c r="BD737" i="3"/>
  <c r="AW737" i="3"/>
  <c r="BC737" i="3" s="1"/>
  <c r="AV737" i="3"/>
  <c r="AP737" i="3"/>
  <c r="AX737" i="3" s="1"/>
  <c r="AO737" i="3"/>
  <c r="BH737" i="3" s="1"/>
  <c r="AD737" i="3" s="1"/>
  <c r="AL737" i="3"/>
  <c r="AK737" i="3"/>
  <c r="AJ737" i="3"/>
  <c r="AH737" i="3"/>
  <c r="AG737" i="3"/>
  <c r="AF737" i="3"/>
  <c r="AC737" i="3"/>
  <c r="AB737" i="3"/>
  <c r="Z737" i="3"/>
  <c r="J737" i="3"/>
  <c r="H737" i="3"/>
  <c r="BJ735" i="3"/>
  <c r="BF735" i="3"/>
  <c r="BD735" i="3"/>
  <c r="AX735" i="3"/>
  <c r="AP735" i="3"/>
  <c r="BI735" i="3" s="1"/>
  <c r="AE735" i="3" s="1"/>
  <c r="AO735" i="3"/>
  <c r="AK735" i="3"/>
  <c r="AJ735" i="3"/>
  <c r="AH735" i="3"/>
  <c r="AG735" i="3"/>
  <c r="AF735" i="3"/>
  <c r="AC735" i="3"/>
  <c r="AB735" i="3"/>
  <c r="Z735" i="3"/>
  <c r="J735" i="3"/>
  <c r="AL735" i="3" s="1"/>
  <c r="I735" i="3"/>
  <c r="BJ733" i="3"/>
  <c r="BI733" i="3"/>
  <c r="AE733" i="3" s="1"/>
  <c r="BF733" i="3"/>
  <c r="BD733" i="3"/>
  <c r="AX733" i="3"/>
  <c r="AP733" i="3"/>
  <c r="AO733" i="3"/>
  <c r="AL733" i="3"/>
  <c r="AK733" i="3"/>
  <c r="AJ733" i="3"/>
  <c r="AH733" i="3"/>
  <c r="AG733" i="3"/>
  <c r="AF733" i="3"/>
  <c r="AC733" i="3"/>
  <c r="AB733" i="3"/>
  <c r="Z733" i="3"/>
  <c r="J733" i="3"/>
  <c r="I733" i="3"/>
  <c r="BJ731" i="3"/>
  <c r="BH731" i="3"/>
  <c r="AD731" i="3" s="1"/>
  <c r="BF731" i="3"/>
  <c r="BD731" i="3"/>
  <c r="AX731" i="3"/>
  <c r="AV731" i="3" s="1"/>
  <c r="AP731" i="3"/>
  <c r="I731" i="3" s="1"/>
  <c r="AO731" i="3"/>
  <c r="AW731" i="3" s="1"/>
  <c r="AK731" i="3"/>
  <c r="AT724" i="3" s="1"/>
  <c r="AJ731" i="3"/>
  <c r="AH731" i="3"/>
  <c r="AG731" i="3"/>
  <c r="AF731" i="3"/>
  <c r="AC731" i="3"/>
  <c r="AB731" i="3"/>
  <c r="Z731" i="3"/>
  <c r="J731" i="3"/>
  <c r="AL731" i="3" s="1"/>
  <c r="H731" i="3"/>
  <c r="BJ729" i="3"/>
  <c r="BI729" i="3"/>
  <c r="AE729" i="3" s="1"/>
  <c r="BF729" i="3"/>
  <c r="BD729" i="3"/>
  <c r="AW729" i="3"/>
  <c r="AP729" i="3"/>
  <c r="AX729" i="3" s="1"/>
  <c r="AO729" i="3"/>
  <c r="BH729" i="3" s="1"/>
  <c r="AD729" i="3" s="1"/>
  <c r="AL729" i="3"/>
  <c r="AK729" i="3"/>
  <c r="AJ729" i="3"/>
  <c r="AH729" i="3"/>
  <c r="AG729" i="3"/>
  <c r="AF729" i="3"/>
  <c r="AC729" i="3"/>
  <c r="AB729" i="3"/>
  <c r="Z729" i="3"/>
  <c r="J729" i="3"/>
  <c r="I729" i="3"/>
  <c r="H729" i="3"/>
  <c r="BJ727" i="3"/>
  <c r="BF727" i="3"/>
  <c r="BD727" i="3"/>
  <c r="AX727" i="3"/>
  <c r="AP727" i="3"/>
  <c r="BI727" i="3" s="1"/>
  <c r="AE727" i="3" s="1"/>
  <c r="AO727" i="3"/>
  <c r="BH727" i="3" s="1"/>
  <c r="AK727" i="3"/>
  <c r="AJ727" i="3"/>
  <c r="AH727" i="3"/>
  <c r="AG727" i="3"/>
  <c r="AF727" i="3"/>
  <c r="AD727" i="3"/>
  <c r="AC727" i="3"/>
  <c r="AB727" i="3"/>
  <c r="Z727" i="3"/>
  <c r="J727" i="3"/>
  <c r="AL727" i="3" s="1"/>
  <c r="I727" i="3"/>
  <c r="BJ725" i="3"/>
  <c r="BF725" i="3"/>
  <c r="BD725" i="3"/>
  <c r="AP725" i="3"/>
  <c r="AO725" i="3"/>
  <c r="AK725" i="3"/>
  <c r="AJ725" i="3"/>
  <c r="AH725" i="3"/>
  <c r="AG725" i="3"/>
  <c r="AF725" i="3"/>
  <c r="AC725" i="3"/>
  <c r="AB725" i="3"/>
  <c r="Z725" i="3"/>
  <c r="J725" i="3"/>
  <c r="AS724" i="3"/>
  <c r="BJ723" i="3"/>
  <c r="Z723" i="3" s="1"/>
  <c r="BF723" i="3"/>
  <c r="BD723" i="3"/>
  <c r="AX723" i="3"/>
  <c r="AP723" i="3"/>
  <c r="BI723" i="3" s="1"/>
  <c r="AO723" i="3"/>
  <c r="AL723" i="3"/>
  <c r="AK723" i="3"/>
  <c r="AJ723" i="3"/>
  <c r="AH723" i="3"/>
  <c r="AG723" i="3"/>
  <c r="AF723" i="3"/>
  <c r="AE723" i="3"/>
  <c r="AD723" i="3"/>
  <c r="AC723" i="3"/>
  <c r="AB723" i="3"/>
  <c r="J723" i="3"/>
  <c r="I723" i="3"/>
  <c r="BJ720" i="3"/>
  <c r="BH720" i="3"/>
  <c r="AD720" i="3" s="1"/>
  <c r="BF720" i="3"/>
  <c r="BD720" i="3"/>
  <c r="AX720" i="3"/>
  <c r="AW720" i="3"/>
  <c r="AP720" i="3"/>
  <c r="BI720" i="3" s="1"/>
  <c r="AE720" i="3" s="1"/>
  <c r="AO720" i="3"/>
  <c r="H720" i="3" s="1"/>
  <c r="AL720" i="3"/>
  <c r="AK720" i="3"/>
  <c r="AJ720" i="3"/>
  <c r="AH720" i="3"/>
  <c r="AG720" i="3"/>
  <c r="AF720" i="3"/>
  <c r="AC720" i="3"/>
  <c r="AB720" i="3"/>
  <c r="Z720" i="3"/>
  <c r="J720" i="3"/>
  <c r="I720" i="3"/>
  <c r="BJ714" i="3"/>
  <c r="BF714" i="3"/>
  <c r="BD714" i="3"/>
  <c r="AP714" i="3"/>
  <c r="AO714" i="3"/>
  <c r="AW714" i="3" s="1"/>
  <c r="AK714" i="3"/>
  <c r="AJ714" i="3"/>
  <c r="AS713" i="3" s="1"/>
  <c r="AH714" i="3"/>
  <c r="AG714" i="3"/>
  <c r="AF714" i="3"/>
  <c r="AC714" i="3"/>
  <c r="AB714" i="3"/>
  <c r="Z714" i="3"/>
  <c r="J714" i="3"/>
  <c r="AL714" i="3" s="1"/>
  <c r="AU713" i="3" s="1"/>
  <c r="H714" i="3"/>
  <c r="AT713" i="3"/>
  <c r="J713" i="3"/>
  <c r="BJ712" i="3"/>
  <c r="BF712" i="3"/>
  <c r="BD712" i="3"/>
  <c r="AP712" i="3"/>
  <c r="AO712" i="3"/>
  <c r="AK712" i="3"/>
  <c r="AJ712" i="3"/>
  <c r="AH712" i="3"/>
  <c r="AG712" i="3"/>
  <c r="AF712" i="3"/>
  <c r="AE712" i="3"/>
  <c r="AD712" i="3"/>
  <c r="AC712" i="3"/>
  <c r="AB712" i="3"/>
  <c r="Z712" i="3"/>
  <c r="J712" i="3"/>
  <c r="AL712" i="3" s="1"/>
  <c r="BJ708" i="3"/>
  <c r="BI708" i="3"/>
  <c r="AE708" i="3" s="1"/>
  <c r="BF708" i="3"/>
  <c r="BD708" i="3"/>
  <c r="BC708" i="3"/>
  <c r="AX708" i="3"/>
  <c r="AP708" i="3"/>
  <c r="I708" i="3" s="1"/>
  <c r="AO708" i="3"/>
  <c r="AW708" i="3" s="1"/>
  <c r="AV708" i="3" s="1"/>
  <c r="AK708" i="3"/>
  <c r="AJ708" i="3"/>
  <c r="AH708" i="3"/>
  <c r="AG708" i="3"/>
  <c r="AF708" i="3"/>
  <c r="AC708" i="3"/>
  <c r="AB708" i="3"/>
  <c r="Z708" i="3"/>
  <c r="J708" i="3"/>
  <c r="AL708" i="3" s="1"/>
  <c r="BJ704" i="3"/>
  <c r="BF704" i="3"/>
  <c r="BD704" i="3"/>
  <c r="AW704" i="3"/>
  <c r="AP704" i="3"/>
  <c r="AO704" i="3"/>
  <c r="BH704" i="3" s="1"/>
  <c r="AD704" i="3" s="1"/>
  <c r="AL704" i="3"/>
  <c r="AK704" i="3"/>
  <c r="AJ704" i="3"/>
  <c r="AH704" i="3"/>
  <c r="AG704" i="3"/>
  <c r="AF704" i="3"/>
  <c r="AC704" i="3"/>
  <c r="AB704" i="3"/>
  <c r="Z704" i="3"/>
  <c r="J704" i="3"/>
  <c r="I704" i="3"/>
  <c r="H704" i="3"/>
  <c r="BJ701" i="3"/>
  <c r="BH701" i="3"/>
  <c r="AD701" i="3" s="1"/>
  <c r="BF701" i="3"/>
  <c r="BD701" i="3"/>
  <c r="AW701" i="3"/>
  <c r="AP701" i="3"/>
  <c r="BI701" i="3" s="1"/>
  <c r="AO701" i="3"/>
  <c r="AL701" i="3"/>
  <c r="AK701" i="3"/>
  <c r="AJ701" i="3"/>
  <c r="AH701" i="3"/>
  <c r="AG701" i="3"/>
  <c r="AF701" i="3"/>
  <c r="AE701" i="3"/>
  <c r="AC701" i="3"/>
  <c r="AB701" i="3"/>
  <c r="Z701" i="3"/>
  <c r="J701" i="3"/>
  <c r="I701" i="3"/>
  <c r="H701" i="3"/>
  <c r="BJ695" i="3"/>
  <c r="BH695" i="3"/>
  <c r="AD695" i="3" s="1"/>
  <c r="BF695" i="3"/>
  <c r="BD695" i="3"/>
  <c r="AX695" i="3"/>
  <c r="AW695" i="3"/>
  <c r="AP695" i="3"/>
  <c r="BI695" i="3" s="1"/>
  <c r="AE695" i="3" s="1"/>
  <c r="AO695" i="3"/>
  <c r="H695" i="3" s="1"/>
  <c r="AL695" i="3"/>
  <c r="AK695" i="3"/>
  <c r="AJ695" i="3"/>
  <c r="AH695" i="3"/>
  <c r="AG695" i="3"/>
  <c r="AF695" i="3"/>
  <c r="AC695" i="3"/>
  <c r="AB695" i="3"/>
  <c r="Z695" i="3"/>
  <c r="J695" i="3"/>
  <c r="I695" i="3"/>
  <c r="BJ692" i="3"/>
  <c r="BI692" i="3"/>
  <c r="AE692" i="3" s="1"/>
  <c r="BF692" i="3"/>
  <c r="BD692" i="3"/>
  <c r="AX692" i="3"/>
  <c r="AP692" i="3"/>
  <c r="I692" i="3" s="1"/>
  <c r="AO692" i="3"/>
  <c r="AK692" i="3"/>
  <c r="AJ692" i="3"/>
  <c r="AH692" i="3"/>
  <c r="AG692" i="3"/>
  <c r="AF692" i="3"/>
  <c r="AC692" i="3"/>
  <c r="AB692" i="3"/>
  <c r="Z692" i="3"/>
  <c r="J692" i="3"/>
  <c r="AL692" i="3" s="1"/>
  <c r="BJ687" i="3"/>
  <c r="BI687" i="3"/>
  <c r="BF687" i="3"/>
  <c r="BD687" i="3"/>
  <c r="AP687" i="3"/>
  <c r="AO687" i="3"/>
  <c r="BH687" i="3" s="1"/>
  <c r="AD687" i="3" s="1"/>
  <c r="AK687" i="3"/>
  <c r="AJ687" i="3"/>
  <c r="AS686" i="3" s="1"/>
  <c r="AH687" i="3"/>
  <c r="AG687" i="3"/>
  <c r="AF687" i="3"/>
  <c r="AE687" i="3"/>
  <c r="AC687" i="3"/>
  <c r="AB687" i="3"/>
  <c r="Z687" i="3"/>
  <c r="J687" i="3"/>
  <c r="AL687" i="3" s="1"/>
  <c r="AU686" i="3" s="1"/>
  <c r="H687" i="3"/>
  <c r="J686" i="3"/>
  <c r="BJ685" i="3"/>
  <c r="BH685" i="3"/>
  <c r="BF685" i="3"/>
  <c r="BD685" i="3"/>
  <c r="AP685" i="3"/>
  <c r="AO685" i="3"/>
  <c r="AK685" i="3"/>
  <c r="AJ685" i="3"/>
  <c r="AH685" i="3"/>
  <c r="AG685" i="3"/>
  <c r="AF685" i="3"/>
  <c r="AE685" i="3"/>
  <c r="AD685" i="3"/>
  <c r="AC685" i="3"/>
  <c r="AB685" i="3"/>
  <c r="Z685" i="3"/>
  <c r="J685" i="3"/>
  <c r="AL685" i="3" s="1"/>
  <c r="BJ683" i="3"/>
  <c r="BF683" i="3"/>
  <c r="BD683" i="3"/>
  <c r="AP683" i="3"/>
  <c r="AO683" i="3"/>
  <c r="BH683" i="3" s="1"/>
  <c r="AD683" i="3" s="1"/>
  <c r="AK683" i="3"/>
  <c r="AJ683" i="3"/>
  <c r="AH683" i="3"/>
  <c r="AG683" i="3"/>
  <c r="AF683" i="3"/>
  <c r="AC683" i="3"/>
  <c r="AB683" i="3"/>
  <c r="Z683" i="3"/>
  <c r="J683" i="3"/>
  <c r="AL683" i="3" s="1"/>
  <c r="H683" i="3"/>
  <c r="BJ681" i="3"/>
  <c r="BF681" i="3"/>
  <c r="BD681" i="3"/>
  <c r="AW681" i="3"/>
  <c r="AP681" i="3"/>
  <c r="BI681" i="3" s="1"/>
  <c r="AE681" i="3" s="1"/>
  <c r="AO681" i="3"/>
  <c r="BH681" i="3" s="1"/>
  <c r="AD681" i="3" s="1"/>
  <c r="AL681" i="3"/>
  <c r="AK681" i="3"/>
  <c r="AJ681" i="3"/>
  <c r="AH681" i="3"/>
  <c r="AG681" i="3"/>
  <c r="AF681" i="3"/>
  <c r="AC681" i="3"/>
  <c r="AB681" i="3"/>
  <c r="Z681" i="3"/>
  <c r="J681" i="3"/>
  <c r="I681" i="3"/>
  <c r="H681" i="3"/>
  <c r="BJ679" i="3"/>
  <c r="BH679" i="3"/>
  <c r="AD679" i="3" s="1"/>
  <c r="BF679" i="3"/>
  <c r="BD679" i="3"/>
  <c r="AX679" i="3"/>
  <c r="AW679" i="3"/>
  <c r="AP679" i="3"/>
  <c r="BI679" i="3" s="1"/>
  <c r="AE679" i="3" s="1"/>
  <c r="AO679" i="3"/>
  <c r="H679" i="3" s="1"/>
  <c r="AL679" i="3"/>
  <c r="AK679" i="3"/>
  <c r="AJ679" i="3"/>
  <c r="AH679" i="3"/>
  <c r="AG679" i="3"/>
  <c r="AF679" i="3"/>
  <c r="AC679" i="3"/>
  <c r="AB679" i="3"/>
  <c r="Z679" i="3"/>
  <c r="J679" i="3"/>
  <c r="I679" i="3"/>
  <c r="BJ677" i="3"/>
  <c r="BI677" i="3"/>
  <c r="AE677" i="3" s="1"/>
  <c r="BF677" i="3"/>
  <c r="BD677" i="3"/>
  <c r="AX677" i="3"/>
  <c r="AP677" i="3"/>
  <c r="I677" i="3" s="1"/>
  <c r="AO677" i="3"/>
  <c r="AK677" i="3"/>
  <c r="AJ677" i="3"/>
  <c r="AH677" i="3"/>
  <c r="AG677" i="3"/>
  <c r="AF677" i="3"/>
  <c r="AC677" i="3"/>
  <c r="AB677" i="3"/>
  <c r="Z677" i="3"/>
  <c r="J677" i="3"/>
  <c r="AL677" i="3" s="1"/>
  <c r="BJ675" i="3"/>
  <c r="BI675" i="3"/>
  <c r="AE675" i="3" s="1"/>
  <c r="BF675" i="3"/>
  <c r="BD675" i="3"/>
  <c r="AP675" i="3"/>
  <c r="AO675" i="3"/>
  <c r="BH675" i="3" s="1"/>
  <c r="AD675" i="3" s="1"/>
  <c r="AK675" i="3"/>
  <c r="AJ675" i="3"/>
  <c r="AS651" i="3" s="1"/>
  <c r="AH675" i="3"/>
  <c r="AG675" i="3"/>
  <c r="AF675" i="3"/>
  <c r="AC675" i="3"/>
  <c r="AB675" i="3"/>
  <c r="Z675" i="3"/>
  <c r="J675" i="3"/>
  <c r="AL675" i="3" s="1"/>
  <c r="H675" i="3"/>
  <c r="BJ673" i="3"/>
  <c r="BF673" i="3"/>
  <c r="BD673" i="3"/>
  <c r="AW673" i="3"/>
  <c r="AP673" i="3"/>
  <c r="BI673" i="3" s="1"/>
  <c r="AE673" i="3" s="1"/>
  <c r="AO673" i="3"/>
  <c r="BH673" i="3" s="1"/>
  <c r="AD673" i="3" s="1"/>
  <c r="AL673" i="3"/>
  <c r="AK673" i="3"/>
  <c r="AJ673" i="3"/>
  <c r="AH673" i="3"/>
  <c r="AG673" i="3"/>
  <c r="AF673" i="3"/>
  <c r="AC673" i="3"/>
  <c r="AB673" i="3"/>
  <c r="Z673" i="3"/>
  <c r="J673" i="3"/>
  <c r="I673" i="3"/>
  <c r="H673" i="3"/>
  <c r="BJ666" i="3"/>
  <c r="BF666" i="3"/>
  <c r="BD666" i="3"/>
  <c r="AX666" i="3"/>
  <c r="AP666" i="3"/>
  <c r="BI666" i="3" s="1"/>
  <c r="AE666" i="3" s="1"/>
  <c r="AO666" i="3"/>
  <c r="AK666" i="3"/>
  <c r="AJ666" i="3"/>
  <c r="AH666" i="3"/>
  <c r="AG666" i="3"/>
  <c r="AF666" i="3"/>
  <c r="AC666" i="3"/>
  <c r="AB666" i="3"/>
  <c r="Z666" i="3"/>
  <c r="J666" i="3"/>
  <c r="AL666" i="3" s="1"/>
  <c r="I666" i="3"/>
  <c r="BJ663" i="3"/>
  <c r="BH663" i="3"/>
  <c r="BF663" i="3"/>
  <c r="BD663" i="3"/>
  <c r="AP663" i="3"/>
  <c r="AO663" i="3"/>
  <c r="AK663" i="3"/>
  <c r="AJ663" i="3"/>
  <c r="AH663" i="3"/>
  <c r="AG663" i="3"/>
  <c r="AF663" i="3"/>
  <c r="AD663" i="3"/>
  <c r="AC663" i="3"/>
  <c r="AB663" i="3"/>
  <c r="Z663" i="3"/>
  <c r="J663" i="3"/>
  <c r="AL663" i="3" s="1"/>
  <c r="BJ654" i="3"/>
  <c r="BF654" i="3"/>
  <c r="BD654" i="3"/>
  <c r="AP654" i="3"/>
  <c r="AO654" i="3"/>
  <c r="BH654" i="3" s="1"/>
  <c r="AD654" i="3" s="1"/>
  <c r="AK654" i="3"/>
  <c r="AJ654" i="3"/>
  <c r="AH654" i="3"/>
  <c r="AG654" i="3"/>
  <c r="AF654" i="3"/>
  <c r="AC654" i="3"/>
  <c r="AB654" i="3"/>
  <c r="Z654" i="3"/>
  <c r="J654" i="3"/>
  <c r="AL654" i="3" s="1"/>
  <c r="H654" i="3"/>
  <c r="BJ652" i="3"/>
  <c r="BF652" i="3"/>
  <c r="BD652" i="3"/>
  <c r="AW652" i="3"/>
  <c r="AP652" i="3"/>
  <c r="BI652" i="3" s="1"/>
  <c r="AE652" i="3" s="1"/>
  <c r="AO652" i="3"/>
  <c r="BH652" i="3" s="1"/>
  <c r="AD652" i="3" s="1"/>
  <c r="AL652" i="3"/>
  <c r="AK652" i="3"/>
  <c r="AJ652" i="3"/>
  <c r="AH652" i="3"/>
  <c r="AG652" i="3"/>
  <c r="AF652" i="3"/>
  <c r="AC652" i="3"/>
  <c r="AB652" i="3"/>
  <c r="Z652" i="3"/>
  <c r="J652" i="3"/>
  <c r="I652" i="3"/>
  <c r="H652" i="3"/>
  <c r="BJ649" i="3"/>
  <c r="BF649" i="3"/>
  <c r="BD649" i="3"/>
  <c r="AP649" i="3"/>
  <c r="AO649" i="3"/>
  <c r="BH649" i="3" s="1"/>
  <c r="AD649" i="3" s="1"/>
  <c r="AK649" i="3"/>
  <c r="AT648" i="3" s="1"/>
  <c r="AJ649" i="3"/>
  <c r="AS648" i="3" s="1"/>
  <c r="AH649" i="3"/>
  <c r="AG649" i="3"/>
  <c r="AF649" i="3"/>
  <c r="AC649" i="3"/>
  <c r="AB649" i="3"/>
  <c r="Z649" i="3"/>
  <c r="J649" i="3"/>
  <c r="AL649" i="3" s="1"/>
  <c r="H649" i="3"/>
  <c r="H648" i="3" s="1"/>
  <c r="AU648" i="3"/>
  <c r="J648" i="3"/>
  <c r="BJ646" i="3"/>
  <c r="BI646" i="3"/>
  <c r="AE646" i="3" s="1"/>
  <c r="BF646" i="3"/>
  <c r="BD646" i="3"/>
  <c r="AX646" i="3"/>
  <c r="AP646" i="3"/>
  <c r="I646" i="3" s="1"/>
  <c r="AO646" i="3"/>
  <c r="AK646" i="3"/>
  <c r="AJ646" i="3"/>
  <c r="AH646" i="3"/>
  <c r="AG646" i="3"/>
  <c r="AF646" i="3"/>
  <c r="AC646" i="3"/>
  <c r="AB646" i="3"/>
  <c r="Z646" i="3"/>
  <c r="J646" i="3"/>
  <c r="AL646" i="3" s="1"/>
  <c r="BJ644" i="3"/>
  <c r="BI644" i="3"/>
  <c r="BF644" i="3"/>
  <c r="BD644" i="3"/>
  <c r="AP644" i="3"/>
  <c r="AO644" i="3"/>
  <c r="BH644" i="3" s="1"/>
  <c r="AD644" i="3" s="1"/>
  <c r="AK644" i="3"/>
  <c r="AJ644" i="3"/>
  <c r="AS641" i="3" s="1"/>
  <c r="AH644" i="3"/>
  <c r="AG644" i="3"/>
  <c r="AF644" i="3"/>
  <c r="AE644" i="3"/>
  <c r="AC644" i="3"/>
  <c r="AB644" i="3"/>
  <c r="Z644" i="3"/>
  <c r="J644" i="3"/>
  <c r="AL644" i="3" s="1"/>
  <c r="H644" i="3"/>
  <c r="BJ642" i="3"/>
  <c r="BF642" i="3"/>
  <c r="BD642" i="3"/>
  <c r="AW642" i="3"/>
  <c r="AP642" i="3"/>
  <c r="BI642" i="3" s="1"/>
  <c r="AE642" i="3" s="1"/>
  <c r="AO642" i="3"/>
  <c r="BH642" i="3" s="1"/>
  <c r="AD642" i="3" s="1"/>
  <c r="AL642" i="3"/>
  <c r="AK642" i="3"/>
  <c r="AJ642" i="3"/>
  <c r="AH642" i="3"/>
  <c r="AG642" i="3"/>
  <c r="AF642" i="3"/>
  <c r="AC642" i="3"/>
  <c r="AB642" i="3"/>
  <c r="Z642" i="3"/>
  <c r="J642" i="3"/>
  <c r="I642" i="3"/>
  <c r="H642" i="3"/>
  <c r="J641" i="3"/>
  <c r="BJ640" i="3"/>
  <c r="BI640" i="3"/>
  <c r="BF640" i="3"/>
  <c r="BD640" i="3"/>
  <c r="AP640" i="3"/>
  <c r="AO640" i="3"/>
  <c r="BH640" i="3" s="1"/>
  <c r="AK640" i="3"/>
  <c r="AJ640" i="3"/>
  <c r="AH640" i="3"/>
  <c r="AG640" i="3"/>
  <c r="AF640" i="3"/>
  <c r="AE640" i="3"/>
  <c r="AD640" i="3"/>
  <c r="AC640" i="3"/>
  <c r="AB640" i="3"/>
  <c r="Z640" i="3"/>
  <c r="J640" i="3"/>
  <c r="AL640" i="3" s="1"/>
  <c r="H640" i="3"/>
  <c r="BJ637" i="3"/>
  <c r="BF637" i="3"/>
  <c r="BD637" i="3"/>
  <c r="AW637" i="3"/>
  <c r="AP637" i="3"/>
  <c r="BI637" i="3" s="1"/>
  <c r="AE637" i="3" s="1"/>
  <c r="AO637" i="3"/>
  <c r="BH637" i="3" s="1"/>
  <c r="AD637" i="3" s="1"/>
  <c r="AL637" i="3"/>
  <c r="AK637" i="3"/>
  <c r="AJ637" i="3"/>
  <c r="AH637" i="3"/>
  <c r="AG637" i="3"/>
  <c r="AF637" i="3"/>
  <c r="AC637" i="3"/>
  <c r="AB637" i="3"/>
  <c r="Z637" i="3"/>
  <c r="J637" i="3"/>
  <c r="I637" i="3"/>
  <c r="H637" i="3"/>
  <c r="BJ634" i="3"/>
  <c r="BH634" i="3"/>
  <c r="BF634" i="3"/>
  <c r="BD634" i="3"/>
  <c r="AX634" i="3"/>
  <c r="AW634" i="3"/>
  <c r="AP634" i="3"/>
  <c r="BI634" i="3" s="1"/>
  <c r="AE634" i="3" s="1"/>
  <c r="AO634" i="3"/>
  <c r="H634" i="3" s="1"/>
  <c r="AK634" i="3"/>
  <c r="AJ634" i="3"/>
  <c r="AH634" i="3"/>
  <c r="AG634" i="3"/>
  <c r="AF634" i="3"/>
  <c r="AD634" i="3"/>
  <c r="AC634" i="3"/>
  <c r="AB634" i="3"/>
  <c r="Z634" i="3"/>
  <c r="J634" i="3"/>
  <c r="AL634" i="3" s="1"/>
  <c r="I634" i="3"/>
  <c r="BJ632" i="3"/>
  <c r="BI632" i="3"/>
  <c r="BH632" i="3"/>
  <c r="AD632" i="3" s="1"/>
  <c r="BF632" i="3"/>
  <c r="BD632" i="3"/>
  <c r="AX632" i="3"/>
  <c r="AP632" i="3"/>
  <c r="I632" i="3" s="1"/>
  <c r="AO632" i="3"/>
  <c r="AK632" i="3"/>
  <c r="AJ632" i="3"/>
  <c r="AH632" i="3"/>
  <c r="AG632" i="3"/>
  <c r="AF632" i="3"/>
  <c r="AE632" i="3"/>
  <c r="AC632" i="3"/>
  <c r="AB632" i="3"/>
  <c r="Z632" i="3"/>
  <c r="J632" i="3"/>
  <c r="AL632" i="3" s="1"/>
  <c r="BJ630" i="3"/>
  <c r="BF630" i="3"/>
  <c r="BD630" i="3"/>
  <c r="AP630" i="3"/>
  <c r="AO630" i="3"/>
  <c r="BH630" i="3" s="1"/>
  <c r="AD630" i="3" s="1"/>
  <c r="AK630" i="3"/>
  <c r="AJ630" i="3"/>
  <c r="AH630" i="3"/>
  <c r="AG630" i="3"/>
  <c r="AF630" i="3"/>
  <c r="AC630" i="3"/>
  <c r="AB630" i="3"/>
  <c r="Z630" i="3"/>
  <c r="J630" i="3"/>
  <c r="AL630" i="3" s="1"/>
  <c r="AU629" i="3" s="1"/>
  <c r="H630" i="3"/>
  <c r="BJ627" i="3"/>
  <c r="BF627" i="3"/>
  <c r="BD627" i="3"/>
  <c r="AP627" i="3"/>
  <c r="I627" i="3" s="1"/>
  <c r="I626" i="3" s="1"/>
  <c r="AO627" i="3"/>
  <c r="AK627" i="3"/>
  <c r="AJ627" i="3"/>
  <c r="AS626" i="3" s="1"/>
  <c r="AH627" i="3"/>
  <c r="AG627" i="3"/>
  <c r="AF627" i="3"/>
  <c r="AC627" i="3"/>
  <c r="AB627" i="3"/>
  <c r="Z627" i="3"/>
  <c r="J627" i="3"/>
  <c r="AT626" i="3"/>
  <c r="BJ625" i="3"/>
  <c r="Z625" i="3" s="1"/>
  <c r="BF625" i="3"/>
  <c r="BD625" i="3"/>
  <c r="AX625" i="3"/>
  <c r="AP625" i="3"/>
  <c r="BI625" i="3" s="1"/>
  <c r="AO625" i="3"/>
  <c r="H625" i="3" s="1"/>
  <c r="AL625" i="3"/>
  <c r="AK625" i="3"/>
  <c r="AJ625" i="3"/>
  <c r="AH625" i="3"/>
  <c r="AG625" i="3"/>
  <c r="AF625" i="3"/>
  <c r="AE625" i="3"/>
  <c r="AD625" i="3"/>
  <c r="AC625" i="3"/>
  <c r="AB625" i="3"/>
  <c r="J625" i="3"/>
  <c r="I625" i="3"/>
  <c r="BJ622" i="3"/>
  <c r="BF622" i="3"/>
  <c r="BD622" i="3"/>
  <c r="AP622" i="3"/>
  <c r="I622" i="3" s="1"/>
  <c r="I621" i="3" s="1"/>
  <c r="AO622" i="3"/>
  <c r="AK622" i="3"/>
  <c r="AJ622" i="3"/>
  <c r="AS621" i="3" s="1"/>
  <c r="AH622" i="3"/>
  <c r="AG622" i="3"/>
  <c r="AF622" i="3"/>
  <c r="AC622" i="3"/>
  <c r="AB622" i="3"/>
  <c r="Z622" i="3"/>
  <c r="J622" i="3"/>
  <c r="AT621" i="3"/>
  <c r="BJ620" i="3"/>
  <c r="Z620" i="3" s="1"/>
  <c r="BF620" i="3"/>
  <c r="BD620" i="3"/>
  <c r="AX620" i="3"/>
  <c r="AP620" i="3"/>
  <c r="BI620" i="3" s="1"/>
  <c r="AO620" i="3"/>
  <c r="H620" i="3" s="1"/>
  <c r="AL620" i="3"/>
  <c r="AK620" i="3"/>
  <c r="AJ620" i="3"/>
  <c r="AH620" i="3"/>
  <c r="AG620" i="3"/>
  <c r="AF620" i="3"/>
  <c r="AE620" i="3"/>
  <c r="AD620" i="3"/>
  <c r="AC620" i="3"/>
  <c r="AB620" i="3"/>
  <c r="J620" i="3"/>
  <c r="I620" i="3"/>
  <c r="BJ618" i="3"/>
  <c r="BF618" i="3"/>
  <c r="BD618" i="3"/>
  <c r="AP618" i="3"/>
  <c r="I618" i="3" s="1"/>
  <c r="AO618" i="3"/>
  <c r="AK618" i="3"/>
  <c r="AJ618" i="3"/>
  <c r="AH618" i="3"/>
  <c r="AE618" i="3"/>
  <c r="AD618" i="3"/>
  <c r="AC618" i="3"/>
  <c r="AB618" i="3"/>
  <c r="Z618" i="3"/>
  <c r="J618" i="3"/>
  <c r="AL618" i="3" s="1"/>
  <c r="BJ616" i="3"/>
  <c r="BF616" i="3"/>
  <c r="BD616" i="3"/>
  <c r="AP616" i="3"/>
  <c r="AO616" i="3"/>
  <c r="BH616" i="3" s="1"/>
  <c r="AD616" i="3" s="1"/>
  <c r="AK616" i="3"/>
  <c r="AJ616" i="3"/>
  <c r="AH616" i="3"/>
  <c r="AG616" i="3"/>
  <c r="AF616" i="3"/>
  <c r="AC616" i="3"/>
  <c r="AB616" i="3"/>
  <c r="Z616" i="3"/>
  <c r="J616" i="3"/>
  <c r="AL616" i="3" s="1"/>
  <c r="H616" i="3"/>
  <c r="BJ614" i="3"/>
  <c r="BF614" i="3"/>
  <c r="BD614" i="3"/>
  <c r="AW614" i="3"/>
  <c r="AP614" i="3"/>
  <c r="BI614" i="3" s="1"/>
  <c r="AE614" i="3" s="1"/>
  <c r="AO614" i="3"/>
  <c r="BH614" i="3" s="1"/>
  <c r="AD614" i="3" s="1"/>
  <c r="AL614" i="3"/>
  <c r="AK614" i="3"/>
  <c r="AJ614" i="3"/>
  <c r="AH614" i="3"/>
  <c r="AG614" i="3"/>
  <c r="AF614" i="3"/>
  <c r="AC614" i="3"/>
  <c r="AB614" i="3"/>
  <c r="Z614" i="3"/>
  <c r="J614" i="3"/>
  <c r="I614" i="3"/>
  <c r="H614" i="3"/>
  <c r="BJ612" i="3"/>
  <c r="BF612" i="3"/>
  <c r="BD612" i="3"/>
  <c r="AX612" i="3"/>
  <c r="AP612" i="3"/>
  <c r="BI612" i="3" s="1"/>
  <c r="AE612" i="3" s="1"/>
  <c r="AO612" i="3"/>
  <c r="H612" i="3" s="1"/>
  <c r="AL612" i="3"/>
  <c r="AK612" i="3"/>
  <c r="AJ612" i="3"/>
  <c r="AH612" i="3"/>
  <c r="AG612" i="3"/>
  <c r="AF612" i="3"/>
  <c r="AC612" i="3"/>
  <c r="AB612" i="3"/>
  <c r="Z612" i="3"/>
  <c r="J612" i="3"/>
  <c r="I612" i="3"/>
  <c r="BJ610" i="3"/>
  <c r="BF610" i="3"/>
  <c r="BD610" i="3"/>
  <c r="AP610" i="3"/>
  <c r="I610" i="3" s="1"/>
  <c r="AO610" i="3"/>
  <c r="AK610" i="3"/>
  <c r="AJ610" i="3"/>
  <c r="AH610" i="3"/>
  <c r="AG610" i="3"/>
  <c r="AF610" i="3"/>
  <c r="AC610" i="3"/>
  <c r="AB610" i="3"/>
  <c r="Z610" i="3"/>
  <c r="J610" i="3"/>
  <c r="AL610" i="3" s="1"/>
  <c r="BJ608" i="3"/>
  <c r="BI608" i="3"/>
  <c r="BF608" i="3"/>
  <c r="BD608" i="3"/>
  <c r="AP608" i="3"/>
  <c r="AO608" i="3"/>
  <c r="BH608" i="3" s="1"/>
  <c r="AD608" i="3" s="1"/>
  <c r="AK608" i="3"/>
  <c r="AJ608" i="3"/>
  <c r="AS604" i="3" s="1"/>
  <c r="AH608" i="3"/>
  <c r="AG608" i="3"/>
  <c r="AF608" i="3"/>
  <c r="AE608" i="3"/>
  <c r="AC608" i="3"/>
  <c r="AB608" i="3"/>
  <c r="Z608" i="3"/>
  <c r="J608" i="3"/>
  <c r="AL608" i="3" s="1"/>
  <c r="H608" i="3"/>
  <c r="BJ605" i="3"/>
  <c r="BF605" i="3"/>
  <c r="BD605" i="3"/>
  <c r="AW605" i="3"/>
  <c r="AP605" i="3"/>
  <c r="BI605" i="3" s="1"/>
  <c r="AE605" i="3" s="1"/>
  <c r="AO605" i="3"/>
  <c r="BH605" i="3" s="1"/>
  <c r="AD605" i="3" s="1"/>
  <c r="AL605" i="3"/>
  <c r="AK605" i="3"/>
  <c r="AJ605" i="3"/>
  <c r="AH605" i="3"/>
  <c r="AG605" i="3"/>
  <c r="AF605" i="3"/>
  <c r="AC605" i="3"/>
  <c r="AB605" i="3"/>
  <c r="Z605" i="3"/>
  <c r="J605" i="3"/>
  <c r="I605" i="3"/>
  <c r="H605" i="3"/>
  <c r="J604" i="3"/>
  <c r="BJ603" i="3"/>
  <c r="Z603" i="3" s="1"/>
  <c r="BI603" i="3"/>
  <c r="BF603" i="3"/>
  <c r="BD603" i="3"/>
  <c r="AP603" i="3"/>
  <c r="AO603" i="3"/>
  <c r="BH603" i="3" s="1"/>
  <c r="AK603" i="3"/>
  <c r="AJ603" i="3"/>
  <c r="AH603" i="3"/>
  <c r="AG603" i="3"/>
  <c r="AF603" i="3"/>
  <c r="AE603" i="3"/>
  <c r="AD603" i="3"/>
  <c r="AC603" i="3"/>
  <c r="AB603" i="3"/>
  <c r="J603" i="3"/>
  <c r="AL603" i="3" s="1"/>
  <c r="H603" i="3"/>
  <c r="H598" i="3" s="1"/>
  <c r="BJ601" i="3"/>
  <c r="BF601" i="3"/>
  <c r="BD601" i="3"/>
  <c r="AW601" i="3"/>
  <c r="AP601" i="3"/>
  <c r="BI601" i="3" s="1"/>
  <c r="AE601" i="3" s="1"/>
  <c r="AO601" i="3"/>
  <c r="BH601" i="3" s="1"/>
  <c r="AD601" i="3" s="1"/>
  <c r="AL601" i="3"/>
  <c r="AK601" i="3"/>
  <c r="AJ601" i="3"/>
  <c r="AH601" i="3"/>
  <c r="AG601" i="3"/>
  <c r="AF601" i="3"/>
  <c r="AC601" i="3"/>
  <c r="AB601" i="3"/>
  <c r="Z601" i="3"/>
  <c r="J601" i="3"/>
  <c r="I601" i="3"/>
  <c r="H601" i="3"/>
  <c r="BJ599" i="3"/>
  <c r="BH599" i="3"/>
  <c r="AD599" i="3" s="1"/>
  <c r="BF599" i="3"/>
  <c r="BD599" i="3"/>
  <c r="AX599" i="3"/>
  <c r="AW599" i="3"/>
  <c r="AP599" i="3"/>
  <c r="BI599" i="3" s="1"/>
  <c r="AE599" i="3" s="1"/>
  <c r="AO599" i="3"/>
  <c r="H599" i="3" s="1"/>
  <c r="AL599" i="3"/>
  <c r="AU598" i="3" s="1"/>
  <c r="AK599" i="3"/>
  <c r="AJ599" i="3"/>
  <c r="AH599" i="3"/>
  <c r="AG599" i="3"/>
  <c r="AF599" i="3"/>
  <c r="AC599" i="3"/>
  <c r="AB599" i="3"/>
  <c r="Z599" i="3"/>
  <c r="J599" i="3"/>
  <c r="J598" i="3" s="1"/>
  <c r="I599" i="3"/>
  <c r="AS598" i="3"/>
  <c r="BJ597" i="3"/>
  <c r="Z597" i="3" s="1"/>
  <c r="BF597" i="3"/>
  <c r="BD597" i="3"/>
  <c r="AW597" i="3"/>
  <c r="AP597" i="3"/>
  <c r="BI597" i="3" s="1"/>
  <c r="AO597" i="3"/>
  <c r="BH597" i="3" s="1"/>
  <c r="AL597" i="3"/>
  <c r="AK597" i="3"/>
  <c r="AJ597" i="3"/>
  <c r="AH597" i="3"/>
  <c r="AG597" i="3"/>
  <c r="AF597" i="3"/>
  <c r="AE597" i="3"/>
  <c r="AD597" i="3"/>
  <c r="AC597" i="3"/>
  <c r="AB597" i="3"/>
  <c r="J597" i="3"/>
  <c r="I597" i="3"/>
  <c r="H597" i="3"/>
  <c r="BJ595" i="3"/>
  <c r="BH595" i="3"/>
  <c r="BF595" i="3"/>
  <c r="BD595" i="3"/>
  <c r="AX595" i="3"/>
  <c r="AW595" i="3"/>
  <c r="AP595" i="3"/>
  <c r="BI595" i="3" s="1"/>
  <c r="AE595" i="3" s="1"/>
  <c r="AO595" i="3"/>
  <c r="H595" i="3" s="1"/>
  <c r="AK595" i="3"/>
  <c r="AJ595" i="3"/>
  <c r="AH595" i="3"/>
  <c r="AG595" i="3"/>
  <c r="AF595" i="3"/>
  <c r="AD595" i="3"/>
  <c r="AC595" i="3"/>
  <c r="AB595" i="3"/>
  <c r="Z595" i="3"/>
  <c r="J595" i="3"/>
  <c r="AL595" i="3" s="1"/>
  <c r="I595" i="3"/>
  <c r="BJ593" i="3"/>
  <c r="BI593" i="3"/>
  <c r="BH593" i="3"/>
  <c r="AD593" i="3" s="1"/>
  <c r="BF593" i="3"/>
  <c r="BD593" i="3"/>
  <c r="AX593" i="3"/>
  <c r="AP593" i="3"/>
  <c r="I593" i="3" s="1"/>
  <c r="AO593" i="3"/>
  <c r="AK593" i="3"/>
  <c r="AJ593" i="3"/>
  <c r="AH593" i="3"/>
  <c r="AG593" i="3"/>
  <c r="AF593" i="3"/>
  <c r="AE593" i="3"/>
  <c r="AC593" i="3"/>
  <c r="AB593" i="3"/>
  <c r="Z593" i="3"/>
  <c r="J593" i="3"/>
  <c r="AL593" i="3" s="1"/>
  <c r="BJ591" i="3"/>
  <c r="BF591" i="3"/>
  <c r="BD591" i="3"/>
  <c r="AP591" i="3"/>
  <c r="AO591" i="3"/>
  <c r="BH591" i="3" s="1"/>
  <c r="AD591" i="3" s="1"/>
  <c r="AK591" i="3"/>
  <c r="AJ591" i="3"/>
  <c r="AH591" i="3"/>
  <c r="AG591" i="3"/>
  <c r="AF591" i="3"/>
  <c r="AC591" i="3"/>
  <c r="AB591" i="3"/>
  <c r="Z591" i="3"/>
  <c r="J591" i="3"/>
  <c r="AL591" i="3" s="1"/>
  <c r="H591" i="3"/>
  <c r="BJ589" i="3"/>
  <c r="BF589" i="3"/>
  <c r="BD589" i="3"/>
  <c r="AW589" i="3"/>
  <c r="AP589" i="3"/>
  <c r="BI589" i="3" s="1"/>
  <c r="AE589" i="3" s="1"/>
  <c r="AO589" i="3"/>
  <c r="BH589" i="3" s="1"/>
  <c r="AD589" i="3" s="1"/>
  <c r="AL589" i="3"/>
  <c r="AK589" i="3"/>
  <c r="AJ589" i="3"/>
  <c r="AH589" i="3"/>
  <c r="AG589" i="3"/>
  <c r="AF589" i="3"/>
  <c r="AC589" i="3"/>
  <c r="AB589" i="3"/>
  <c r="Z589" i="3"/>
  <c r="J589" i="3"/>
  <c r="I589" i="3"/>
  <c r="H589" i="3"/>
  <c r="BJ587" i="3"/>
  <c r="BF587" i="3"/>
  <c r="BD587" i="3"/>
  <c r="AX587" i="3"/>
  <c r="AP587" i="3"/>
  <c r="BI587" i="3" s="1"/>
  <c r="AE587" i="3" s="1"/>
  <c r="AO587" i="3"/>
  <c r="H587" i="3" s="1"/>
  <c r="AL587" i="3"/>
  <c r="AK587" i="3"/>
  <c r="AJ587" i="3"/>
  <c r="AH587" i="3"/>
  <c r="AG587" i="3"/>
  <c r="AF587" i="3"/>
  <c r="AC587" i="3"/>
  <c r="AB587" i="3"/>
  <c r="Z587" i="3"/>
  <c r="J587" i="3"/>
  <c r="I587" i="3"/>
  <c r="BJ584" i="3"/>
  <c r="BF584" i="3"/>
  <c r="BD584" i="3"/>
  <c r="AP584" i="3"/>
  <c r="I584" i="3" s="1"/>
  <c r="AO584" i="3"/>
  <c r="AK584" i="3"/>
  <c r="AJ584" i="3"/>
  <c r="AH584" i="3"/>
  <c r="AG584" i="3"/>
  <c r="AF584" i="3"/>
  <c r="AC584" i="3"/>
  <c r="AB584" i="3"/>
  <c r="Z584" i="3"/>
  <c r="J584" i="3"/>
  <c r="AL584" i="3" s="1"/>
  <c r="BJ581" i="3"/>
  <c r="BI581" i="3"/>
  <c r="BF581" i="3"/>
  <c r="BD581" i="3"/>
  <c r="AP581" i="3"/>
  <c r="AO581" i="3"/>
  <c r="BH581" i="3" s="1"/>
  <c r="AD581" i="3" s="1"/>
  <c r="AK581" i="3"/>
  <c r="AJ581" i="3"/>
  <c r="AH581" i="3"/>
  <c r="AG581" i="3"/>
  <c r="AF581" i="3"/>
  <c r="AE581" i="3"/>
  <c r="AC581" i="3"/>
  <c r="AB581" i="3"/>
  <c r="Z581" i="3"/>
  <c r="J581" i="3"/>
  <c r="AL581" i="3" s="1"/>
  <c r="H581" i="3"/>
  <c r="BJ578" i="3"/>
  <c r="BF578" i="3"/>
  <c r="BD578" i="3"/>
  <c r="AW578" i="3"/>
  <c r="AP578" i="3"/>
  <c r="I578" i="3" s="1"/>
  <c r="AO578" i="3"/>
  <c r="BH578" i="3" s="1"/>
  <c r="AD578" i="3" s="1"/>
  <c r="AL578" i="3"/>
  <c r="AK578" i="3"/>
  <c r="AJ578" i="3"/>
  <c r="AH578" i="3"/>
  <c r="AG578" i="3"/>
  <c r="AF578" i="3"/>
  <c r="AC578" i="3"/>
  <c r="AB578" i="3"/>
  <c r="Z578" i="3"/>
  <c r="J578" i="3"/>
  <c r="H578" i="3"/>
  <c r="BJ575" i="3"/>
  <c r="BF575" i="3"/>
  <c r="BD575" i="3"/>
  <c r="AX575" i="3"/>
  <c r="AP575" i="3"/>
  <c r="BI575" i="3" s="1"/>
  <c r="AE575" i="3" s="1"/>
  <c r="AO575" i="3"/>
  <c r="AK575" i="3"/>
  <c r="AJ575" i="3"/>
  <c r="AH575" i="3"/>
  <c r="AG575" i="3"/>
  <c r="AF575" i="3"/>
  <c r="AC575" i="3"/>
  <c r="AB575" i="3"/>
  <c r="Z575" i="3"/>
  <c r="J575" i="3"/>
  <c r="AL575" i="3" s="1"/>
  <c r="I575" i="3"/>
  <c r="BJ573" i="3"/>
  <c r="BI573" i="3"/>
  <c r="AE573" i="3" s="1"/>
  <c r="BH573" i="3"/>
  <c r="AD573" i="3" s="1"/>
  <c r="BF573" i="3"/>
  <c r="BD573" i="3"/>
  <c r="AX573" i="3"/>
  <c r="AP573" i="3"/>
  <c r="AO573" i="3"/>
  <c r="H573" i="3" s="1"/>
  <c r="AL573" i="3"/>
  <c r="AK573" i="3"/>
  <c r="AJ573" i="3"/>
  <c r="AH573" i="3"/>
  <c r="AG573" i="3"/>
  <c r="AF573" i="3"/>
  <c r="AC573" i="3"/>
  <c r="AB573" i="3"/>
  <c r="Z573" i="3"/>
  <c r="J573" i="3"/>
  <c r="I573" i="3"/>
  <c r="BJ571" i="3"/>
  <c r="BH571" i="3"/>
  <c r="AD571" i="3" s="1"/>
  <c r="BF571" i="3"/>
  <c r="BD571" i="3"/>
  <c r="AX571" i="3"/>
  <c r="AV571" i="3"/>
  <c r="AP571" i="3"/>
  <c r="I571" i="3" s="1"/>
  <c r="AO571" i="3"/>
  <c r="AW571" i="3" s="1"/>
  <c r="BC571" i="3" s="1"/>
  <c r="AK571" i="3"/>
  <c r="AJ571" i="3"/>
  <c r="AH571" i="3"/>
  <c r="AG571" i="3"/>
  <c r="AF571" i="3"/>
  <c r="AC571" i="3"/>
  <c r="AB571" i="3"/>
  <c r="Z571" i="3"/>
  <c r="J571" i="3"/>
  <c r="AL571" i="3" s="1"/>
  <c r="H571" i="3"/>
  <c r="BJ569" i="3"/>
  <c r="BI569" i="3"/>
  <c r="AE569" i="3" s="1"/>
  <c r="BF569" i="3"/>
  <c r="BD569" i="3"/>
  <c r="AW569" i="3"/>
  <c r="AP569" i="3"/>
  <c r="AX569" i="3" s="1"/>
  <c r="AO569" i="3"/>
  <c r="BH569" i="3" s="1"/>
  <c r="AD569" i="3" s="1"/>
  <c r="AL569" i="3"/>
  <c r="AK569" i="3"/>
  <c r="AJ569" i="3"/>
  <c r="AH569" i="3"/>
  <c r="AG569" i="3"/>
  <c r="AF569" i="3"/>
  <c r="AC569" i="3"/>
  <c r="AB569" i="3"/>
  <c r="Z569" i="3"/>
  <c r="J569" i="3"/>
  <c r="I569" i="3"/>
  <c r="H569" i="3"/>
  <c r="BJ567" i="3"/>
  <c r="BF567" i="3"/>
  <c r="BD567" i="3"/>
  <c r="AX567" i="3"/>
  <c r="AP567" i="3"/>
  <c r="BI567" i="3" s="1"/>
  <c r="AE567" i="3" s="1"/>
  <c r="AO567" i="3"/>
  <c r="BH567" i="3" s="1"/>
  <c r="AD567" i="3" s="1"/>
  <c r="AK567" i="3"/>
  <c r="AJ567" i="3"/>
  <c r="AH567" i="3"/>
  <c r="AG567" i="3"/>
  <c r="AF567" i="3"/>
  <c r="AC567" i="3"/>
  <c r="AB567" i="3"/>
  <c r="Z567" i="3"/>
  <c r="J567" i="3"/>
  <c r="AL567" i="3" s="1"/>
  <c r="I567" i="3"/>
  <c r="BJ565" i="3"/>
  <c r="BI565" i="3"/>
  <c r="AE565" i="3" s="1"/>
  <c r="BF565" i="3"/>
  <c r="BD565" i="3"/>
  <c r="AP565" i="3"/>
  <c r="AX565" i="3" s="1"/>
  <c r="AO565" i="3"/>
  <c r="AK565" i="3"/>
  <c r="AJ565" i="3"/>
  <c r="AH565" i="3"/>
  <c r="AG565" i="3"/>
  <c r="AF565" i="3"/>
  <c r="AC565" i="3"/>
  <c r="AB565" i="3"/>
  <c r="Z565" i="3"/>
  <c r="J565" i="3"/>
  <c r="AL565" i="3" s="1"/>
  <c r="BJ563" i="3"/>
  <c r="BI563" i="3"/>
  <c r="AE563" i="3" s="1"/>
  <c r="BH563" i="3"/>
  <c r="AD563" i="3" s="1"/>
  <c r="BF563" i="3"/>
  <c r="BD563" i="3"/>
  <c r="AX563" i="3"/>
  <c r="AP563" i="3"/>
  <c r="I563" i="3" s="1"/>
  <c r="AO563" i="3"/>
  <c r="AW563" i="3" s="1"/>
  <c r="AV563" i="3" s="1"/>
  <c r="AK563" i="3"/>
  <c r="AJ563" i="3"/>
  <c r="AH563" i="3"/>
  <c r="AG563" i="3"/>
  <c r="AF563" i="3"/>
  <c r="AC563" i="3"/>
  <c r="AB563" i="3"/>
  <c r="Z563" i="3"/>
  <c r="J563" i="3"/>
  <c r="AL563" i="3" s="1"/>
  <c r="H563" i="3"/>
  <c r="BJ561" i="3"/>
  <c r="BF561" i="3"/>
  <c r="BD561" i="3"/>
  <c r="BC561" i="3"/>
  <c r="AW561" i="3"/>
  <c r="AV561" i="3" s="1"/>
  <c r="AP561" i="3"/>
  <c r="AX561" i="3" s="1"/>
  <c r="AO561" i="3"/>
  <c r="BH561" i="3" s="1"/>
  <c r="AD561" i="3" s="1"/>
  <c r="AL561" i="3"/>
  <c r="AK561" i="3"/>
  <c r="AJ561" i="3"/>
  <c r="AH561" i="3"/>
  <c r="AG561" i="3"/>
  <c r="AF561" i="3"/>
  <c r="AC561" i="3"/>
  <c r="AB561" i="3"/>
  <c r="Z561" i="3"/>
  <c r="J561" i="3"/>
  <c r="I561" i="3"/>
  <c r="H561" i="3"/>
  <c r="BJ559" i="3"/>
  <c r="BH559" i="3"/>
  <c r="AD559" i="3" s="1"/>
  <c r="BF559" i="3"/>
  <c r="BD559" i="3"/>
  <c r="AX559" i="3"/>
  <c r="AW559" i="3"/>
  <c r="BC559" i="3" s="1"/>
  <c r="AV559" i="3"/>
  <c r="AP559" i="3"/>
  <c r="BI559" i="3" s="1"/>
  <c r="AE559" i="3" s="1"/>
  <c r="AO559" i="3"/>
  <c r="AL559" i="3"/>
  <c r="AK559" i="3"/>
  <c r="AJ559" i="3"/>
  <c r="AH559" i="3"/>
  <c r="AG559" i="3"/>
  <c r="AF559" i="3"/>
  <c r="AC559" i="3"/>
  <c r="AB559" i="3"/>
  <c r="Z559" i="3"/>
  <c r="J559" i="3"/>
  <c r="I559" i="3"/>
  <c r="H559" i="3"/>
  <c r="BJ557" i="3"/>
  <c r="BF557" i="3"/>
  <c r="BD557" i="3"/>
  <c r="AW557" i="3"/>
  <c r="AP557" i="3"/>
  <c r="AO557" i="3"/>
  <c r="H557" i="3" s="1"/>
  <c r="AK557" i="3"/>
  <c r="AJ557" i="3"/>
  <c r="AH557" i="3"/>
  <c r="AG557" i="3"/>
  <c r="AF557" i="3"/>
  <c r="AC557" i="3"/>
  <c r="AB557" i="3"/>
  <c r="Z557" i="3"/>
  <c r="J557" i="3"/>
  <c r="AL557" i="3" s="1"/>
  <c r="BJ555" i="3"/>
  <c r="BI555" i="3"/>
  <c r="AE555" i="3" s="1"/>
  <c r="BF555" i="3"/>
  <c r="BD555" i="3"/>
  <c r="AP555" i="3"/>
  <c r="I555" i="3" s="1"/>
  <c r="AO555" i="3"/>
  <c r="AK555" i="3"/>
  <c r="AJ555" i="3"/>
  <c r="AH555" i="3"/>
  <c r="AG555" i="3"/>
  <c r="AF555" i="3"/>
  <c r="AC555" i="3"/>
  <c r="AB555" i="3"/>
  <c r="Z555" i="3"/>
  <c r="J555" i="3"/>
  <c r="AL555" i="3" s="1"/>
  <c r="H555" i="3"/>
  <c r="BJ553" i="3"/>
  <c r="BF553" i="3"/>
  <c r="BD553" i="3"/>
  <c r="AW553" i="3"/>
  <c r="AP553" i="3"/>
  <c r="AO553" i="3"/>
  <c r="BH553" i="3" s="1"/>
  <c r="AD553" i="3" s="1"/>
  <c r="AL553" i="3"/>
  <c r="AK553" i="3"/>
  <c r="AJ553" i="3"/>
  <c r="AS552" i="3" s="1"/>
  <c r="AH553" i="3"/>
  <c r="AG553" i="3"/>
  <c r="AF553" i="3"/>
  <c r="AC553" i="3"/>
  <c r="AB553" i="3"/>
  <c r="Z553" i="3"/>
  <c r="J553" i="3"/>
  <c r="H553" i="3"/>
  <c r="BJ551" i="3"/>
  <c r="Z551" i="3" s="1"/>
  <c r="BI551" i="3"/>
  <c r="BF551" i="3"/>
  <c r="BD551" i="3"/>
  <c r="AP551" i="3"/>
  <c r="I551" i="3" s="1"/>
  <c r="AO551" i="3"/>
  <c r="AK551" i="3"/>
  <c r="AJ551" i="3"/>
  <c r="AH551" i="3"/>
  <c r="AG551" i="3"/>
  <c r="AF551" i="3"/>
  <c r="AE551" i="3"/>
  <c r="AD551" i="3"/>
  <c r="AC551" i="3"/>
  <c r="AB551" i="3"/>
  <c r="J551" i="3"/>
  <c r="AL551" i="3" s="1"/>
  <c r="H551" i="3"/>
  <c r="BJ549" i="3"/>
  <c r="BF549" i="3"/>
  <c r="BD549" i="3"/>
  <c r="AW549" i="3"/>
  <c r="AP549" i="3"/>
  <c r="AO549" i="3"/>
  <c r="BH549" i="3" s="1"/>
  <c r="AD549" i="3" s="1"/>
  <c r="AL549" i="3"/>
  <c r="AK549" i="3"/>
  <c r="AJ549" i="3"/>
  <c r="AH549" i="3"/>
  <c r="AG549" i="3"/>
  <c r="AF549" i="3"/>
  <c r="AC549" i="3"/>
  <c r="AB549" i="3"/>
  <c r="Z549" i="3"/>
  <c r="J549" i="3"/>
  <c r="H549" i="3"/>
  <c r="BJ547" i="3"/>
  <c r="BH547" i="3"/>
  <c r="AD547" i="3" s="1"/>
  <c r="BF547" i="3"/>
  <c r="BD547" i="3"/>
  <c r="AX547" i="3"/>
  <c r="AW547" i="3"/>
  <c r="AP547" i="3"/>
  <c r="BI547" i="3" s="1"/>
  <c r="AE547" i="3" s="1"/>
  <c r="AO547" i="3"/>
  <c r="AL547" i="3"/>
  <c r="AK547" i="3"/>
  <c r="AJ547" i="3"/>
  <c r="AH547" i="3"/>
  <c r="AG547" i="3"/>
  <c r="AF547" i="3"/>
  <c r="AC547" i="3"/>
  <c r="AB547" i="3"/>
  <c r="Z547" i="3"/>
  <c r="J547" i="3"/>
  <c r="I547" i="3"/>
  <c r="H547" i="3"/>
  <c r="BJ545" i="3"/>
  <c r="BH545" i="3"/>
  <c r="AD545" i="3" s="1"/>
  <c r="BF545" i="3"/>
  <c r="BD545" i="3"/>
  <c r="AX545" i="3"/>
  <c r="AW545" i="3"/>
  <c r="AP545" i="3"/>
  <c r="BI545" i="3" s="1"/>
  <c r="AE545" i="3" s="1"/>
  <c r="AO545" i="3"/>
  <c r="H545" i="3" s="1"/>
  <c r="AL545" i="3"/>
  <c r="AK545" i="3"/>
  <c r="AJ545" i="3"/>
  <c r="AH545" i="3"/>
  <c r="AG545" i="3"/>
  <c r="AF545" i="3"/>
  <c r="AC545" i="3"/>
  <c r="AB545" i="3"/>
  <c r="Z545" i="3"/>
  <c r="J545" i="3"/>
  <c r="I545" i="3"/>
  <c r="BJ543" i="3"/>
  <c r="BF543" i="3"/>
  <c r="BD543" i="3"/>
  <c r="AP543" i="3"/>
  <c r="AO543" i="3"/>
  <c r="AW543" i="3" s="1"/>
  <c r="AK543" i="3"/>
  <c r="AJ543" i="3"/>
  <c r="AH543" i="3"/>
  <c r="AG543" i="3"/>
  <c r="AF543" i="3"/>
  <c r="AC543" i="3"/>
  <c r="AB543" i="3"/>
  <c r="Z543" i="3"/>
  <c r="J543" i="3"/>
  <c r="AL543" i="3" s="1"/>
  <c r="H543" i="3"/>
  <c r="BJ541" i="3"/>
  <c r="BI541" i="3"/>
  <c r="AE541" i="3" s="1"/>
  <c r="BF541" i="3"/>
  <c r="BD541" i="3"/>
  <c r="AW541" i="3"/>
  <c r="BC541" i="3" s="1"/>
  <c r="AV541" i="3"/>
  <c r="AP541" i="3"/>
  <c r="AX541" i="3" s="1"/>
  <c r="AO541" i="3"/>
  <c r="BH541" i="3" s="1"/>
  <c r="AD541" i="3" s="1"/>
  <c r="AL541" i="3"/>
  <c r="AK541" i="3"/>
  <c r="AJ541" i="3"/>
  <c r="AH541" i="3"/>
  <c r="AG541" i="3"/>
  <c r="AF541" i="3"/>
  <c r="AC541" i="3"/>
  <c r="AB541" i="3"/>
  <c r="Z541" i="3"/>
  <c r="J541" i="3"/>
  <c r="H541" i="3"/>
  <c r="BJ539" i="3"/>
  <c r="BF539" i="3"/>
  <c r="BD539" i="3"/>
  <c r="AX539" i="3"/>
  <c r="AP539" i="3"/>
  <c r="BI539" i="3" s="1"/>
  <c r="AE539" i="3" s="1"/>
  <c r="AO539" i="3"/>
  <c r="AK539" i="3"/>
  <c r="AJ539" i="3"/>
  <c r="AH539" i="3"/>
  <c r="AG539" i="3"/>
  <c r="AF539" i="3"/>
  <c r="AC539" i="3"/>
  <c r="AB539" i="3"/>
  <c r="Z539" i="3"/>
  <c r="J539" i="3"/>
  <c r="AL539" i="3" s="1"/>
  <c r="I539" i="3"/>
  <c r="BJ537" i="3"/>
  <c r="BI537" i="3"/>
  <c r="AE537" i="3" s="1"/>
  <c r="BH537" i="3"/>
  <c r="AD537" i="3" s="1"/>
  <c r="BF537" i="3"/>
  <c r="BD537" i="3"/>
  <c r="AX537" i="3"/>
  <c r="AP537" i="3"/>
  <c r="AO537" i="3"/>
  <c r="H537" i="3" s="1"/>
  <c r="AL537" i="3"/>
  <c r="AK537" i="3"/>
  <c r="AJ537" i="3"/>
  <c r="AH537" i="3"/>
  <c r="AG537" i="3"/>
  <c r="AF537" i="3"/>
  <c r="AC537" i="3"/>
  <c r="AB537" i="3"/>
  <c r="Z537" i="3"/>
  <c r="J537" i="3"/>
  <c r="I537" i="3"/>
  <c r="BJ535" i="3"/>
  <c r="BH535" i="3"/>
  <c r="AD535" i="3" s="1"/>
  <c r="BF535" i="3"/>
  <c r="BD535" i="3"/>
  <c r="AX535" i="3"/>
  <c r="AV535" i="3"/>
  <c r="AP535" i="3"/>
  <c r="I535" i="3" s="1"/>
  <c r="AO535" i="3"/>
  <c r="AW535" i="3" s="1"/>
  <c r="BC535" i="3" s="1"/>
  <c r="AK535" i="3"/>
  <c r="AJ535" i="3"/>
  <c r="AH535" i="3"/>
  <c r="AG535" i="3"/>
  <c r="AF535" i="3"/>
  <c r="AC535" i="3"/>
  <c r="AB535" i="3"/>
  <c r="Z535" i="3"/>
  <c r="J535" i="3"/>
  <c r="AL535" i="3" s="1"/>
  <c r="H535" i="3"/>
  <c r="BJ533" i="3"/>
  <c r="BI533" i="3"/>
  <c r="AE533" i="3" s="1"/>
  <c r="BF533" i="3"/>
  <c r="BD533" i="3"/>
  <c r="AW533" i="3"/>
  <c r="AP533" i="3"/>
  <c r="AX533" i="3" s="1"/>
  <c r="AO533" i="3"/>
  <c r="BH533" i="3" s="1"/>
  <c r="AD533" i="3" s="1"/>
  <c r="AL533" i="3"/>
  <c r="AK533" i="3"/>
  <c r="AJ533" i="3"/>
  <c r="AH533" i="3"/>
  <c r="AG533" i="3"/>
  <c r="AF533" i="3"/>
  <c r="AC533" i="3"/>
  <c r="AB533" i="3"/>
  <c r="Z533" i="3"/>
  <c r="J533" i="3"/>
  <c r="I533" i="3"/>
  <c r="H533" i="3"/>
  <c r="BJ531" i="3"/>
  <c r="BF531" i="3"/>
  <c r="BD531" i="3"/>
  <c r="AX531" i="3"/>
  <c r="AP531" i="3"/>
  <c r="BI531" i="3" s="1"/>
  <c r="AE531" i="3" s="1"/>
  <c r="AO531" i="3"/>
  <c r="BH531" i="3" s="1"/>
  <c r="AD531" i="3" s="1"/>
  <c r="AK531" i="3"/>
  <c r="AJ531" i="3"/>
  <c r="AH531" i="3"/>
  <c r="AG531" i="3"/>
  <c r="AF531" i="3"/>
  <c r="AC531" i="3"/>
  <c r="AB531" i="3"/>
  <c r="Z531" i="3"/>
  <c r="J531" i="3"/>
  <c r="AL531" i="3" s="1"/>
  <c r="I531" i="3"/>
  <c r="BJ529" i="3"/>
  <c r="BI529" i="3"/>
  <c r="AE529" i="3" s="1"/>
  <c r="BF529" i="3"/>
  <c r="BD529" i="3"/>
  <c r="AP529" i="3"/>
  <c r="AX529" i="3" s="1"/>
  <c r="AO529" i="3"/>
  <c r="AK529" i="3"/>
  <c r="AJ529" i="3"/>
  <c r="AH529" i="3"/>
  <c r="AG529" i="3"/>
  <c r="AF529" i="3"/>
  <c r="AC529" i="3"/>
  <c r="AB529" i="3"/>
  <c r="Z529" i="3"/>
  <c r="J529" i="3"/>
  <c r="BJ526" i="3"/>
  <c r="BI526" i="3"/>
  <c r="AE526" i="3" s="1"/>
  <c r="BH526" i="3"/>
  <c r="AD526" i="3" s="1"/>
  <c r="BF526" i="3"/>
  <c r="BD526" i="3"/>
  <c r="AX526" i="3"/>
  <c r="AP526" i="3"/>
  <c r="I526" i="3" s="1"/>
  <c r="AO526" i="3"/>
  <c r="AW526" i="3" s="1"/>
  <c r="AV526" i="3" s="1"/>
  <c r="AK526" i="3"/>
  <c r="AJ526" i="3"/>
  <c r="AH526" i="3"/>
  <c r="AG526" i="3"/>
  <c r="AF526" i="3"/>
  <c r="AC526" i="3"/>
  <c r="AB526" i="3"/>
  <c r="Z526" i="3"/>
  <c r="J526" i="3"/>
  <c r="AL526" i="3" s="1"/>
  <c r="H526" i="3"/>
  <c r="BJ523" i="3"/>
  <c r="BF523" i="3"/>
  <c r="BD523" i="3"/>
  <c r="BC523" i="3"/>
  <c r="AW523" i="3"/>
  <c r="AV523" i="3" s="1"/>
  <c r="AP523" i="3"/>
  <c r="AX523" i="3" s="1"/>
  <c r="AO523" i="3"/>
  <c r="BH523" i="3" s="1"/>
  <c r="AD523" i="3" s="1"/>
  <c r="AL523" i="3"/>
  <c r="AK523" i="3"/>
  <c r="AJ523" i="3"/>
  <c r="AH523" i="3"/>
  <c r="AG523" i="3"/>
  <c r="AF523" i="3"/>
  <c r="AC523" i="3"/>
  <c r="AB523" i="3"/>
  <c r="Z523" i="3"/>
  <c r="J523" i="3"/>
  <c r="I523" i="3"/>
  <c r="H523" i="3"/>
  <c r="BJ520" i="3"/>
  <c r="BH520" i="3"/>
  <c r="AD520" i="3" s="1"/>
  <c r="BF520" i="3"/>
  <c r="BD520" i="3"/>
  <c r="AX520" i="3"/>
  <c r="AW520" i="3"/>
  <c r="BC520" i="3" s="1"/>
  <c r="AV520" i="3"/>
  <c r="AP520" i="3"/>
  <c r="BI520" i="3" s="1"/>
  <c r="AE520" i="3" s="1"/>
  <c r="AO520" i="3"/>
  <c r="AL520" i="3"/>
  <c r="AK520" i="3"/>
  <c r="AJ520" i="3"/>
  <c r="AH520" i="3"/>
  <c r="AG520" i="3"/>
  <c r="AF520" i="3"/>
  <c r="AC520" i="3"/>
  <c r="AB520" i="3"/>
  <c r="Z520" i="3"/>
  <c r="J520" i="3"/>
  <c r="I520" i="3"/>
  <c r="H520" i="3"/>
  <c r="BJ517" i="3"/>
  <c r="BF517" i="3"/>
  <c r="BD517" i="3"/>
  <c r="AW517" i="3"/>
  <c r="AP517" i="3"/>
  <c r="AO517" i="3"/>
  <c r="H517" i="3" s="1"/>
  <c r="AK517" i="3"/>
  <c r="AJ517" i="3"/>
  <c r="AH517" i="3"/>
  <c r="AG517" i="3"/>
  <c r="AF517" i="3"/>
  <c r="AC517" i="3"/>
  <c r="AB517" i="3"/>
  <c r="Z517" i="3"/>
  <c r="J517" i="3"/>
  <c r="AL517" i="3" s="1"/>
  <c r="BJ514" i="3"/>
  <c r="BI514" i="3"/>
  <c r="AE514" i="3" s="1"/>
  <c r="BF514" i="3"/>
  <c r="BD514" i="3"/>
  <c r="AP514" i="3"/>
  <c r="I514" i="3" s="1"/>
  <c r="AO514" i="3"/>
  <c r="H514" i="3" s="1"/>
  <c r="AK514" i="3"/>
  <c r="AJ514" i="3"/>
  <c r="AH514" i="3"/>
  <c r="AG514" i="3"/>
  <c r="AF514" i="3"/>
  <c r="AC514" i="3"/>
  <c r="AB514" i="3"/>
  <c r="Z514" i="3"/>
  <c r="J514" i="3"/>
  <c r="AL514" i="3" s="1"/>
  <c r="BJ511" i="3"/>
  <c r="BF511" i="3"/>
  <c r="BD511" i="3"/>
  <c r="AW511" i="3"/>
  <c r="AP511" i="3"/>
  <c r="AO511" i="3"/>
  <c r="BH511" i="3" s="1"/>
  <c r="AD511" i="3" s="1"/>
  <c r="AL511" i="3"/>
  <c r="AK511" i="3"/>
  <c r="AJ511" i="3"/>
  <c r="AS507" i="3" s="1"/>
  <c r="AH511" i="3"/>
  <c r="AG511" i="3"/>
  <c r="AF511" i="3"/>
  <c r="AC511" i="3"/>
  <c r="AB511" i="3"/>
  <c r="Z511" i="3"/>
  <c r="J511" i="3"/>
  <c r="H511" i="3"/>
  <c r="BJ508" i="3"/>
  <c r="BH508" i="3"/>
  <c r="AD508" i="3" s="1"/>
  <c r="BF508" i="3"/>
  <c r="BD508" i="3"/>
  <c r="AX508" i="3"/>
  <c r="AW508" i="3"/>
  <c r="AP508" i="3"/>
  <c r="BI508" i="3" s="1"/>
  <c r="AE508" i="3" s="1"/>
  <c r="AO508" i="3"/>
  <c r="AL508" i="3"/>
  <c r="AK508" i="3"/>
  <c r="AJ508" i="3"/>
  <c r="AH508" i="3"/>
  <c r="AG508" i="3"/>
  <c r="AF508" i="3"/>
  <c r="AC508" i="3"/>
  <c r="AB508" i="3"/>
  <c r="Z508" i="3"/>
  <c r="J508" i="3"/>
  <c r="I508" i="3"/>
  <c r="H508" i="3"/>
  <c r="BJ506" i="3"/>
  <c r="BF506" i="3"/>
  <c r="BD506" i="3"/>
  <c r="AW506" i="3"/>
  <c r="AP506" i="3"/>
  <c r="AO506" i="3"/>
  <c r="BH506" i="3" s="1"/>
  <c r="AL506" i="3"/>
  <c r="AK506" i="3"/>
  <c r="AJ506" i="3"/>
  <c r="AH506" i="3"/>
  <c r="AG506" i="3"/>
  <c r="AF506" i="3"/>
  <c r="AE506" i="3"/>
  <c r="AD506" i="3"/>
  <c r="AC506" i="3"/>
  <c r="AB506" i="3"/>
  <c r="Z506" i="3"/>
  <c r="J506" i="3"/>
  <c r="H506" i="3"/>
  <c r="BJ504" i="3"/>
  <c r="BF504" i="3"/>
  <c r="BD504" i="3"/>
  <c r="AX504" i="3"/>
  <c r="AP504" i="3"/>
  <c r="BI504" i="3" s="1"/>
  <c r="AE504" i="3" s="1"/>
  <c r="AO504" i="3"/>
  <c r="AK504" i="3"/>
  <c r="AJ504" i="3"/>
  <c r="AH504" i="3"/>
  <c r="AG504" i="3"/>
  <c r="AF504" i="3"/>
  <c r="AC504" i="3"/>
  <c r="AB504" i="3"/>
  <c r="Z504" i="3"/>
  <c r="J504" i="3"/>
  <c r="AL504" i="3" s="1"/>
  <c r="I504" i="3"/>
  <c r="BJ502" i="3"/>
  <c r="BI502" i="3"/>
  <c r="AE502" i="3" s="1"/>
  <c r="BH502" i="3"/>
  <c r="AD502" i="3" s="1"/>
  <c r="BF502" i="3"/>
  <c r="BD502" i="3"/>
  <c r="AX502" i="3"/>
  <c r="AP502" i="3"/>
  <c r="AO502" i="3"/>
  <c r="H502" i="3" s="1"/>
  <c r="AL502" i="3"/>
  <c r="AK502" i="3"/>
  <c r="AJ502" i="3"/>
  <c r="AH502" i="3"/>
  <c r="AG502" i="3"/>
  <c r="AF502" i="3"/>
  <c r="AC502" i="3"/>
  <c r="AB502" i="3"/>
  <c r="Z502" i="3"/>
  <c r="J502" i="3"/>
  <c r="I502" i="3"/>
  <c r="BJ500" i="3"/>
  <c r="BH500" i="3"/>
  <c r="AD500" i="3" s="1"/>
  <c r="BF500" i="3"/>
  <c r="BD500" i="3"/>
  <c r="AX500" i="3"/>
  <c r="AV500" i="3"/>
  <c r="AP500" i="3"/>
  <c r="I500" i="3" s="1"/>
  <c r="AO500" i="3"/>
  <c r="AW500" i="3" s="1"/>
  <c r="BC500" i="3" s="1"/>
  <c r="AK500" i="3"/>
  <c r="AJ500" i="3"/>
  <c r="AH500" i="3"/>
  <c r="AG500" i="3"/>
  <c r="AF500" i="3"/>
  <c r="AC500" i="3"/>
  <c r="AB500" i="3"/>
  <c r="Z500" i="3"/>
  <c r="J500" i="3"/>
  <c r="AL500" i="3" s="1"/>
  <c r="H500" i="3"/>
  <c r="BJ498" i="3"/>
  <c r="BI498" i="3"/>
  <c r="AE498" i="3" s="1"/>
  <c r="BF498" i="3"/>
  <c r="BD498" i="3"/>
  <c r="AW498" i="3"/>
  <c r="AP498" i="3"/>
  <c r="AX498" i="3" s="1"/>
  <c r="AO498" i="3"/>
  <c r="BH498" i="3" s="1"/>
  <c r="AD498" i="3" s="1"/>
  <c r="AL498" i="3"/>
  <c r="AK498" i="3"/>
  <c r="AJ498" i="3"/>
  <c r="AH498" i="3"/>
  <c r="AG498" i="3"/>
  <c r="AF498" i="3"/>
  <c r="AC498" i="3"/>
  <c r="AB498" i="3"/>
  <c r="Z498" i="3"/>
  <c r="J498" i="3"/>
  <c r="I498" i="3"/>
  <c r="H498" i="3"/>
  <c r="BJ496" i="3"/>
  <c r="BF496" i="3"/>
  <c r="BD496" i="3"/>
  <c r="AX496" i="3"/>
  <c r="AP496" i="3"/>
  <c r="BI496" i="3" s="1"/>
  <c r="AE496" i="3" s="1"/>
  <c r="AO496" i="3"/>
  <c r="BH496" i="3" s="1"/>
  <c r="AD496" i="3" s="1"/>
  <c r="AK496" i="3"/>
  <c r="AJ496" i="3"/>
  <c r="AH496" i="3"/>
  <c r="AG496" i="3"/>
  <c r="AF496" i="3"/>
  <c r="AC496" i="3"/>
  <c r="AB496" i="3"/>
  <c r="Z496" i="3"/>
  <c r="J496" i="3"/>
  <c r="AL496" i="3" s="1"/>
  <c r="I496" i="3"/>
  <c r="BJ494" i="3"/>
  <c r="BI494" i="3"/>
  <c r="AE494" i="3" s="1"/>
  <c r="BF494" i="3"/>
  <c r="BD494" i="3"/>
  <c r="AP494" i="3"/>
  <c r="AX494" i="3" s="1"/>
  <c r="AO494" i="3"/>
  <c r="AK494" i="3"/>
  <c r="AJ494" i="3"/>
  <c r="AH494" i="3"/>
  <c r="AG494" i="3"/>
  <c r="AF494" i="3"/>
  <c r="AC494" i="3"/>
  <c r="AB494" i="3"/>
  <c r="Z494" i="3"/>
  <c r="J494" i="3"/>
  <c r="AL494" i="3" s="1"/>
  <c r="BJ492" i="3"/>
  <c r="BI492" i="3"/>
  <c r="AE492" i="3" s="1"/>
  <c r="BH492" i="3"/>
  <c r="AD492" i="3" s="1"/>
  <c r="BF492" i="3"/>
  <c r="BD492" i="3"/>
  <c r="AX492" i="3"/>
  <c r="AP492" i="3"/>
  <c r="I492" i="3" s="1"/>
  <c r="AO492" i="3"/>
  <c r="AW492" i="3" s="1"/>
  <c r="AV492" i="3" s="1"/>
  <c r="AK492" i="3"/>
  <c r="AJ492" i="3"/>
  <c r="AH492" i="3"/>
  <c r="AG492" i="3"/>
  <c r="AF492" i="3"/>
  <c r="AC492" i="3"/>
  <c r="AB492" i="3"/>
  <c r="Z492" i="3"/>
  <c r="J492" i="3"/>
  <c r="AL492" i="3" s="1"/>
  <c r="H492" i="3"/>
  <c r="BJ490" i="3"/>
  <c r="BF490" i="3"/>
  <c r="BD490" i="3"/>
  <c r="BC490" i="3"/>
  <c r="AW490" i="3"/>
  <c r="AV490" i="3" s="1"/>
  <c r="AP490" i="3"/>
  <c r="AX490" i="3" s="1"/>
  <c r="AO490" i="3"/>
  <c r="BH490" i="3" s="1"/>
  <c r="AD490" i="3" s="1"/>
  <c r="AK490" i="3"/>
  <c r="AJ490" i="3"/>
  <c r="AH490" i="3"/>
  <c r="AG490" i="3"/>
  <c r="AF490" i="3"/>
  <c r="AC490" i="3"/>
  <c r="AB490" i="3"/>
  <c r="Z490" i="3"/>
  <c r="J490" i="3"/>
  <c r="AL490" i="3" s="1"/>
  <c r="I490" i="3"/>
  <c r="H490" i="3"/>
  <c r="BJ487" i="3"/>
  <c r="BH487" i="3"/>
  <c r="BF487" i="3"/>
  <c r="BD487" i="3"/>
  <c r="AX487" i="3"/>
  <c r="AP487" i="3"/>
  <c r="I487" i="3" s="1"/>
  <c r="AO487" i="3"/>
  <c r="AK487" i="3"/>
  <c r="AJ487" i="3"/>
  <c r="AH487" i="3"/>
  <c r="AG487" i="3"/>
  <c r="AF487" i="3"/>
  <c r="AD487" i="3"/>
  <c r="AC487" i="3"/>
  <c r="AB487" i="3"/>
  <c r="Z487" i="3"/>
  <c r="J487" i="3"/>
  <c r="AL487" i="3" s="1"/>
  <c r="BJ484" i="3"/>
  <c r="BF484" i="3"/>
  <c r="BD484" i="3"/>
  <c r="AP484" i="3"/>
  <c r="AO484" i="3"/>
  <c r="BH484" i="3" s="1"/>
  <c r="AD484" i="3" s="1"/>
  <c r="AK484" i="3"/>
  <c r="AJ484" i="3"/>
  <c r="AH484" i="3"/>
  <c r="AG484" i="3"/>
  <c r="AF484" i="3"/>
  <c r="AC484" i="3"/>
  <c r="AB484" i="3"/>
  <c r="Z484" i="3"/>
  <c r="J484" i="3"/>
  <c r="AL484" i="3" s="1"/>
  <c r="H484" i="3"/>
  <c r="BJ481" i="3"/>
  <c r="BF481" i="3"/>
  <c r="BD481" i="3"/>
  <c r="AW481" i="3"/>
  <c r="AP481" i="3"/>
  <c r="BI481" i="3" s="1"/>
  <c r="AE481" i="3" s="1"/>
  <c r="AO481" i="3"/>
  <c r="BH481" i="3" s="1"/>
  <c r="AD481" i="3" s="1"/>
  <c r="AL481" i="3"/>
  <c r="AK481" i="3"/>
  <c r="AJ481" i="3"/>
  <c r="AH481" i="3"/>
  <c r="AG481" i="3"/>
  <c r="AF481" i="3"/>
  <c r="AC481" i="3"/>
  <c r="AB481" i="3"/>
  <c r="Z481" i="3"/>
  <c r="J481" i="3"/>
  <c r="I481" i="3"/>
  <c r="H481" i="3"/>
  <c r="BJ479" i="3"/>
  <c r="BF479" i="3"/>
  <c r="BD479" i="3"/>
  <c r="AX479" i="3"/>
  <c r="AW479" i="3"/>
  <c r="AP479" i="3"/>
  <c r="BI479" i="3" s="1"/>
  <c r="AE479" i="3" s="1"/>
  <c r="AO479" i="3"/>
  <c r="H479" i="3" s="1"/>
  <c r="AL479" i="3"/>
  <c r="AK479" i="3"/>
  <c r="AJ479" i="3"/>
  <c r="AH479" i="3"/>
  <c r="AG479" i="3"/>
  <c r="AF479" i="3"/>
  <c r="AC479" i="3"/>
  <c r="AB479" i="3"/>
  <c r="Z479" i="3"/>
  <c r="J479" i="3"/>
  <c r="I479" i="3"/>
  <c r="BJ476" i="3"/>
  <c r="BH476" i="3"/>
  <c r="BF476" i="3"/>
  <c r="BD476" i="3"/>
  <c r="AX476" i="3"/>
  <c r="AP476" i="3"/>
  <c r="I476" i="3" s="1"/>
  <c r="AO476" i="3"/>
  <c r="AK476" i="3"/>
  <c r="AJ476" i="3"/>
  <c r="AH476" i="3"/>
  <c r="AG476" i="3"/>
  <c r="AF476" i="3"/>
  <c r="AD476" i="3"/>
  <c r="AC476" i="3"/>
  <c r="AB476" i="3"/>
  <c r="Z476" i="3"/>
  <c r="J476" i="3"/>
  <c r="AL476" i="3" s="1"/>
  <c r="BJ474" i="3"/>
  <c r="BF474" i="3"/>
  <c r="BD474" i="3"/>
  <c r="AP474" i="3"/>
  <c r="AO474" i="3"/>
  <c r="BH474" i="3" s="1"/>
  <c r="AD474" i="3" s="1"/>
  <c r="AK474" i="3"/>
  <c r="AJ474" i="3"/>
  <c r="AH474" i="3"/>
  <c r="AG474" i="3"/>
  <c r="AF474" i="3"/>
  <c r="AC474" i="3"/>
  <c r="AB474" i="3"/>
  <c r="Z474" i="3"/>
  <c r="J474" i="3"/>
  <c r="AL474" i="3" s="1"/>
  <c r="H474" i="3"/>
  <c r="BJ471" i="3"/>
  <c r="BF471" i="3"/>
  <c r="BD471" i="3"/>
  <c r="AW471" i="3"/>
  <c r="AP471" i="3"/>
  <c r="BI471" i="3" s="1"/>
  <c r="AE471" i="3" s="1"/>
  <c r="AO471" i="3"/>
  <c r="BH471" i="3" s="1"/>
  <c r="AD471" i="3" s="1"/>
  <c r="AL471" i="3"/>
  <c r="AK471" i="3"/>
  <c r="AJ471" i="3"/>
  <c r="AH471" i="3"/>
  <c r="AG471" i="3"/>
  <c r="AF471" i="3"/>
  <c r="AC471" i="3"/>
  <c r="AB471" i="3"/>
  <c r="Z471" i="3"/>
  <c r="J471" i="3"/>
  <c r="I471" i="3"/>
  <c r="H471" i="3"/>
  <c r="BJ469" i="3"/>
  <c r="BF469" i="3"/>
  <c r="BD469" i="3"/>
  <c r="AX469" i="3"/>
  <c r="AW469" i="3"/>
  <c r="AP469" i="3"/>
  <c r="BI469" i="3" s="1"/>
  <c r="AE469" i="3" s="1"/>
  <c r="AO469" i="3"/>
  <c r="H469" i="3" s="1"/>
  <c r="AL469" i="3"/>
  <c r="AK469" i="3"/>
  <c r="AJ469" i="3"/>
  <c r="AH469" i="3"/>
  <c r="AG469" i="3"/>
  <c r="AF469" i="3"/>
  <c r="AC469" i="3"/>
  <c r="AB469" i="3"/>
  <c r="Z469" i="3"/>
  <c r="J469" i="3"/>
  <c r="I469" i="3"/>
  <c r="AS468" i="3"/>
  <c r="BJ467" i="3"/>
  <c r="Z467" i="3" s="1"/>
  <c r="BF467" i="3"/>
  <c r="BD467" i="3"/>
  <c r="AW467" i="3"/>
  <c r="AP467" i="3"/>
  <c r="BI467" i="3" s="1"/>
  <c r="AO467" i="3"/>
  <c r="BH467" i="3" s="1"/>
  <c r="AL467" i="3"/>
  <c r="AK467" i="3"/>
  <c r="AJ467" i="3"/>
  <c r="AH467" i="3"/>
  <c r="AG467" i="3"/>
  <c r="AF467" i="3"/>
  <c r="AE467" i="3"/>
  <c r="AD467" i="3"/>
  <c r="AC467" i="3"/>
  <c r="AB467" i="3"/>
  <c r="J467" i="3"/>
  <c r="I467" i="3"/>
  <c r="H467" i="3"/>
  <c r="BJ464" i="3"/>
  <c r="BF464" i="3"/>
  <c r="BD464" i="3"/>
  <c r="AX464" i="3"/>
  <c r="AW464" i="3"/>
  <c r="AP464" i="3"/>
  <c r="BI464" i="3" s="1"/>
  <c r="AE464" i="3" s="1"/>
  <c r="AO464" i="3"/>
  <c r="H464" i="3" s="1"/>
  <c r="AL464" i="3"/>
  <c r="AK464" i="3"/>
  <c r="AJ464" i="3"/>
  <c r="AH464" i="3"/>
  <c r="AG464" i="3"/>
  <c r="AF464" i="3"/>
  <c r="AC464" i="3"/>
  <c r="AB464" i="3"/>
  <c r="Z464" i="3"/>
  <c r="J464" i="3"/>
  <c r="I464" i="3"/>
  <c r="BJ461" i="3"/>
  <c r="BH461" i="3"/>
  <c r="AD461" i="3" s="1"/>
  <c r="BF461" i="3"/>
  <c r="BD461" i="3"/>
  <c r="AX461" i="3"/>
  <c r="AP461" i="3"/>
  <c r="I461" i="3" s="1"/>
  <c r="AO461" i="3"/>
  <c r="AK461" i="3"/>
  <c r="AJ461" i="3"/>
  <c r="AH461" i="3"/>
  <c r="AG461" i="3"/>
  <c r="AF461" i="3"/>
  <c r="AC461" i="3"/>
  <c r="AB461" i="3"/>
  <c r="Z461" i="3"/>
  <c r="J461" i="3"/>
  <c r="AL461" i="3" s="1"/>
  <c r="BJ458" i="3"/>
  <c r="BF458" i="3"/>
  <c r="BD458" i="3"/>
  <c r="AP458" i="3"/>
  <c r="AO458" i="3"/>
  <c r="BH458" i="3" s="1"/>
  <c r="AD458" i="3" s="1"/>
  <c r="AK458" i="3"/>
  <c r="AJ458" i="3"/>
  <c r="AH458" i="3"/>
  <c r="AG458" i="3"/>
  <c r="AF458" i="3"/>
  <c r="AC458" i="3"/>
  <c r="AB458" i="3"/>
  <c r="Z458" i="3"/>
  <c r="J458" i="3"/>
  <c r="AL458" i="3" s="1"/>
  <c r="H458" i="3"/>
  <c r="BJ449" i="3"/>
  <c r="BF449" i="3"/>
  <c r="BD449" i="3"/>
  <c r="AW449" i="3"/>
  <c r="AP449" i="3"/>
  <c r="BI449" i="3" s="1"/>
  <c r="AE449" i="3" s="1"/>
  <c r="AO449" i="3"/>
  <c r="BH449" i="3" s="1"/>
  <c r="AD449" i="3" s="1"/>
  <c r="AL449" i="3"/>
  <c r="AK449" i="3"/>
  <c r="AJ449" i="3"/>
  <c r="AH449" i="3"/>
  <c r="AG449" i="3"/>
  <c r="AF449" i="3"/>
  <c r="AC449" i="3"/>
  <c r="AB449" i="3"/>
  <c r="Z449" i="3"/>
  <c r="J449" i="3"/>
  <c r="I449" i="3"/>
  <c r="H449" i="3"/>
  <c r="BJ446" i="3"/>
  <c r="BF446" i="3"/>
  <c r="BD446" i="3"/>
  <c r="AX446" i="3"/>
  <c r="AW446" i="3"/>
  <c r="AP446" i="3"/>
  <c r="BI446" i="3" s="1"/>
  <c r="AE446" i="3" s="1"/>
  <c r="AO446" i="3"/>
  <c r="H446" i="3" s="1"/>
  <c r="AL446" i="3"/>
  <c r="AK446" i="3"/>
  <c r="AJ446" i="3"/>
  <c r="AH446" i="3"/>
  <c r="AG446" i="3"/>
  <c r="AF446" i="3"/>
  <c r="AC446" i="3"/>
  <c r="AB446" i="3"/>
  <c r="Z446" i="3"/>
  <c r="J446" i="3"/>
  <c r="I446" i="3"/>
  <c r="BJ443" i="3"/>
  <c r="BH443" i="3"/>
  <c r="AD443" i="3" s="1"/>
  <c r="BF443" i="3"/>
  <c r="BD443" i="3"/>
  <c r="AX443" i="3"/>
  <c r="AP443" i="3"/>
  <c r="I443" i="3" s="1"/>
  <c r="AO443" i="3"/>
  <c r="AK443" i="3"/>
  <c r="AJ443" i="3"/>
  <c r="AH443" i="3"/>
  <c r="AG443" i="3"/>
  <c r="AF443" i="3"/>
  <c r="AC443" i="3"/>
  <c r="AB443" i="3"/>
  <c r="Z443" i="3"/>
  <c r="J443" i="3"/>
  <c r="AL443" i="3" s="1"/>
  <c r="BJ433" i="3"/>
  <c r="BF433" i="3"/>
  <c r="BD433" i="3"/>
  <c r="AP433" i="3"/>
  <c r="AO433" i="3"/>
  <c r="BH433" i="3" s="1"/>
  <c r="AD433" i="3" s="1"/>
  <c r="AK433" i="3"/>
  <c r="AJ433" i="3"/>
  <c r="AH433" i="3"/>
  <c r="AG433" i="3"/>
  <c r="AF433" i="3"/>
  <c r="AC433" i="3"/>
  <c r="AB433" i="3"/>
  <c r="Z433" i="3"/>
  <c r="J433" i="3"/>
  <c r="AL433" i="3" s="1"/>
  <c r="H433" i="3"/>
  <c r="BJ430" i="3"/>
  <c r="BF430" i="3"/>
  <c r="BD430" i="3"/>
  <c r="AW430" i="3"/>
  <c r="AP430" i="3"/>
  <c r="BI430" i="3" s="1"/>
  <c r="AE430" i="3" s="1"/>
  <c r="AO430" i="3"/>
  <c r="BH430" i="3" s="1"/>
  <c r="AD430" i="3" s="1"/>
  <c r="AL430" i="3"/>
  <c r="AK430" i="3"/>
  <c r="AJ430" i="3"/>
  <c r="AH430" i="3"/>
  <c r="AG430" i="3"/>
  <c r="AF430" i="3"/>
  <c r="AC430" i="3"/>
  <c r="AB430" i="3"/>
  <c r="Z430" i="3"/>
  <c r="J430" i="3"/>
  <c r="I430" i="3"/>
  <c r="H430" i="3"/>
  <c r="BJ427" i="3"/>
  <c r="BF427" i="3"/>
  <c r="BD427" i="3"/>
  <c r="AX427" i="3"/>
  <c r="AW427" i="3"/>
  <c r="AP427" i="3"/>
  <c r="BI427" i="3" s="1"/>
  <c r="AE427" i="3" s="1"/>
  <c r="AO427" i="3"/>
  <c r="H427" i="3" s="1"/>
  <c r="AL427" i="3"/>
  <c r="AK427" i="3"/>
  <c r="AJ427" i="3"/>
  <c r="AH427" i="3"/>
  <c r="AG427" i="3"/>
  <c r="AF427" i="3"/>
  <c r="AC427" i="3"/>
  <c r="AB427" i="3"/>
  <c r="Z427" i="3"/>
  <c r="J427" i="3"/>
  <c r="I427" i="3"/>
  <c r="BJ424" i="3"/>
  <c r="BH424" i="3"/>
  <c r="AD424" i="3" s="1"/>
  <c r="BF424" i="3"/>
  <c r="BD424" i="3"/>
  <c r="AX424" i="3"/>
  <c r="AP424" i="3"/>
  <c r="I424" i="3" s="1"/>
  <c r="AO424" i="3"/>
  <c r="AK424" i="3"/>
  <c r="AJ424" i="3"/>
  <c r="AH424" i="3"/>
  <c r="AG424" i="3"/>
  <c r="AF424" i="3"/>
  <c r="AC424" i="3"/>
  <c r="AB424" i="3"/>
  <c r="Z424" i="3"/>
  <c r="J424" i="3"/>
  <c r="BJ422" i="3"/>
  <c r="BF422" i="3"/>
  <c r="BD422" i="3"/>
  <c r="AP422" i="3"/>
  <c r="AO422" i="3"/>
  <c r="BH422" i="3" s="1"/>
  <c r="AD422" i="3" s="1"/>
  <c r="AK422" i="3"/>
  <c r="AT421" i="3" s="1"/>
  <c r="AJ422" i="3"/>
  <c r="AS421" i="3" s="1"/>
  <c r="AH422" i="3"/>
  <c r="AG422" i="3"/>
  <c r="AF422" i="3"/>
  <c r="AC422" i="3"/>
  <c r="AB422" i="3"/>
  <c r="Z422" i="3"/>
  <c r="J422" i="3"/>
  <c r="AL422" i="3" s="1"/>
  <c r="H422" i="3"/>
  <c r="BJ420" i="3"/>
  <c r="BH420" i="3"/>
  <c r="BF420" i="3"/>
  <c r="BD420" i="3"/>
  <c r="AX420" i="3"/>
  <c r="AP420" i="3"/>
  <c r="I420" i="3" s="1"/>
  <c r="AO420" i="3"/>
  <c r="AK420" i="3"/>
  <c r="AJ420" i="3"/>
  <c r="AH420" i="3"/>
  <c r="AG420" i="3"/>
  <c r="AF420" i="3"/>
  <c r="AE420" i="3"/>
  <c r="AD420" i="3"/>
  <c r="AC420" i="3"/>
  <c r="AB420" i="3"/>
  <c r="Z420" i="3"/>
  <c r="J420" i="3"/>
  <c r="AL420" i="3" s="1"/>
  <c r="BJ418" i="3"/>
  <c r="BF418" i="3"/>
  <c r="BD418" i="3"/>
  <c r="AP418" i="3"/>
  <c r="BI418" i="3" s="1"/>
  <c r="AE418" i="3" s="1"/>
  <c r="AO418" i="3"/>
  <c r="BH418" i="3" s="1"/>
  <c r="AD418" i="3" s="1"/>
  <c r="AK418" i="3"/>
  <c r="AJ418" i="3"/>
  <c r="AH418" i="3"/>
  <c r="AG418" i="3"/>
  <c r="AF418" i="3"/>
  <c r="AC418" i="3"/>
  <c r="AB418" i="3"/>
  <c r="Z418" i="3"/>
  <c r="J418" i="3"/>
  <c r="AL418" i="3" s="1"/>
  <c r="H418" i="3"/>
  <c r="BJ414" i="3"/>
  <c r="BF414" i="3"/>
  <c r="BD414" i="3"/>
  <c r="AW414" i="3"/>
  <c r="AP414" i="3"/>
  <c r="BI414" i="3" s="1"/>
  <c r="AE414" i="3" s="1"/>
  <c r="AO414" i="3"/>
  <c r="BH414" i="3" s="1"/>
  <c r="AD414" i="3" s="1"/>
  <c r="AL414" i="3"/>
  <c r="AK414" i="3"/>
  <c r="AT409" i="3" s="1"/>
  <c r="AJ414" i="3"/>
  <c r="AH414" i="3"/>
  <c r="AG414" i="3"/>
  <c r="AF414" i="3"/>
  <c r="AC414" i="3"/>
  <c r="AB414" i="3"/>
  <c r="Z414" i="3"/>
  <c r="J414" i="3"/>
  <c r="I414" i="3"/>
  <c r="H414" i="3"/>
  <c r="BJ410" i="3"/>
  <c r="BF410" i="3"/>
  <c r="BD410" i="3"/>
  <c r="AX410" i="3"/>
  <c r="AW410" i="3"/>
  <c r="AP410" i="3"/>
  <c r="BI410" i="3" s="1"/>
  <c r="AE410" i="3" s="1"/>
  <c r="AO410" i="3"/>
  <c r="H410" i="3" s="1"/>
  <c r="AL410" i="3"/>
  <c r="AK410" i="3"/>
  <c r="AJ410" i="3"/>
  <c r="AH410" i="3"/>
  <c r="AG410" i="3"/>
  <c r="AF410" i="3"/>
  <c r="AC410" i="3"/>
  <c r="AB410" i="3"/>
  <c r="Z410" i="3"/>
  <c r="J410" i="3"/>
  <c r="J409" i="3" s="1"/>
  <c r="I410" i="3"/>
  <c r="AS409" i="3"/>
  <c r="BJ408" i="3"/>
  <c r="Z408" i="3" s="1"/>
  <c r="BF408" i="3"/>
  <c r="BD408" i="3"/>
  <c r="AW408" i="3"/>
  <c r="AP408" i="3"/>
  <c r="BI408" i="3" s="1"/>
  <c r="AO408" i="3"/>
  <c r="BH408" i="3" s="1"/>
  <c r="AL408" i="3"/>
  <c r="AK408" i="3"/>
  <c r="AJ408" i="3"/>
  <c r="AH408" i="3"/>
  <c r="AG408" i="3"/>
  <c r="AF408" i="3"/>
  <c r="AE408" i="3"/>
  <c r="AD408" i="3"/>
  <c r="AC408" i="3"/>
  <c r="AB408" i="3"/>
  <c r="J408" i="3"/>
  <c r="I408" i="3"/>
  <c r="H408" i="3"/>
  <c r="BJ405" i="3"/>
  <c r="BF405" i="3"/>
  <c r="BD405" i="3"/>
  <c r="AX405" i="3"/>
  <c r="AW405" i="3"/>
  <c r="AP405" i="3"/>
  <c r="BI405" i="3" s="1"/>
  <c r="AE405" i="3" s="1"/>
  <c r="AO405" i="3"/>
  <c r="H405" i="3" s="1"/>
  <c r="AL405" i="3"/>
  <c r="AK405" i="3"/>
  <c r="AJ405" i="3"/>
  <c r="AH405" i="3"/>
  <c r="AG405" i="3"/>
  <c r="AF405" i="3"/>
  <c r="AC405" i="3"/>
  <c r="AB405" i="3"/>
  <c r="Z405" i="3"/>
  <c r="J405" i="3"/>
  <c r="I405" i="3"/>
  <c r="BJ402" i="3"/>
  <c r="BH402" i="3"/>
  <c r="BF402" i="3"/>
  <c r="BD402" i="3"/>
  <c r="AX402" i="3"/>
  <c r="AP402" i="3"/>
  <c r="I402" i="3" s="1"/>
  <c r="AO402" i="3"/>
  <c r="AK402" i="3"/>
  <c r="AJ402" i="3"/>
  <c r="AS401" i="3" s="1"/>
  <c r="AH402" i="3"/>
  <c r="AG402" i="3"/>
  <c r="AF402" i="3"/>
  <c r="AD402" i="3"/>
  <c r="AC402" i="3"/>
  <c r="AB402" i="3"/>
  <c r="Z402" i="3"/>
  <c r="J402" i="3"/>
  <c r="AT401" i="3"/>
  <c r="BJ398" i="3"/>
  <c r="BF398" i="3"/>
  <c r="BD398" i="3"/>
  <c r="AX398" i="3"/>
  <c r="AW398" i="3"/>
  <c r="AP398" i="3"/>
  <c r="BI398" i="3" s="1"/>
  <c r="AC398" i="3" s="1"/>
  <c r="AO398" i="3"/>
  <c r="H398" i="3" s="1"/>
  <c r="H397" i="3" s="1"/>
  <c r="AL398" i="3"/>
  <c r="AU397" i="3" s="1"/>
  <c r="AK398" i="3"/>
  <c r="AJ398" i="3"/>
  <c r="AH398" i="3"/>
  <c r="AG398" i="3"/>
  <c r="AF398" i="3"/>
  <c r="AE398" i="3"/>
  <c r="AD398" i="3"/>
  <c r="Z398" i="3"/>
  <c r="J398" i="3"/>
  <c r="J397" i="3" s="1"/>
  <c r="I398" i="3"/>
  <c r="I397" i="3" s="1"/>
  <c r="AT397" i="3"/>
  <c r="AS397" i="3"/>
  <c r="BJ395" i="3"/>
  <c r="BF395" i="3"/>
  <c r="BD395" i="3"/>
  <c r="AW395" i="3"/>
  <c r="AP395" i="3"/>
  <c r="BI395" i="3" s="1"/>
  <c r="AC395" i="3" s="1"/>
  <c r="AO395" i="3"/>
  <c r="BH395" i="3" s="1"/>
  <c r="AL395" i="3"/>
  <c r="AK395" i="3"/>
  <c r="AT381" i="3" s="1"/>
  <c r="AJ395" i="3"/>
  <c r="AH395" i="3"/>
  <c r="AG395" i="3"/>
  <c r="AF395" i="3"/>
  <c r="AE395" i="3"/>
  <c r="AD395" i="3"/>
  <c r="AB395" i="3"/>
  <c r="Z395" i="3"/>
  <c r="J395" i="3"/>
  <c r="I395" i="3"/>
  <c r="H395" i="3"/>
  <c r="BJ390" i="3"/>
  <c r="BF390" i="3"/>
  <c r="BD390" i="3"/>
  <c r="AX390" i="3"/>
  <c r="AW390" i="3"/>
  <c r="AP390" i="3"/>
  <c r="BI390" i="3" s="1"/>
  <c r="AO390" i="3"/>
  <c r="H390" i="3" s="1"/>
  <c r="AL390" i="3"/>
  <c r="AK390" i="3"/>
  <c r="AJ390" i="3"/>
  <c r="AH390" i="3"/>
  <c r="AG390" i="3"/>
  <c r="AF390" i="3"/>
  <c r="AE390" i="3"/>
  <c r="AD390" i="3"/>
  <c r="AC390" i="3"/>
  <c r="Z390" i="3"/>
  <c r="J390" i="3"/>
  <c r="I390" i="3"/>
  <c r="BJ382" i="3"/>
  <c r="BH382" i="3"/>
  <c r="AB382" i="3" s="1"/>
  <c r="BF382" i="3"/>
  <c r="BD382" i="3"/>
  <c r="AX382" i="3"/>
  <c r="AP382" i="3"/>
  <c r="I382" i="3" s="1"/>
  <c r="I381" i="3" s="1"/>
  <c r="AO382" i="3"/>
  <c r="AK382" i="3"/>
  <c r="AJ382" i="3"/>
  <c r="AS381" i="3" s="1"/>
  <c r="AH382" i="3"/>
  <c r="AG382" i="3"/>
  <c r="AF382" i="3"/>
  <c r="AE382" i="3"/>
  <c r="AD382" i="3"/>
  <c r="Z382" i="3"/>
  <c r="J382" i="3"/>
  <c r="BJ379" i="3"/>
  <c r="BF379" i="3"/>
  <c r="BD379" i="3"/>
  <c r="AX379" i="3"/>
  <c r="AW379" i="3"/>
  <c r="AP379" i="3"/>
  <c r="BI379" i="3" s="1"/>
  <c r="AO379" i="3"/>
  <c r="H379" i="3" s="1"/>
  <c r="AL379" i="3"/>
  <c r="AK379" i="3"/>
  <c r="AJ379" i="3"/>
  <c r="AH379" i="3"/>
  <c r="AG379" i="3"/>
  <c r="AF379" i="3"/>
  <c r="AE379" i="3"/>
  <c r="AD379" i="3"/>
  <c r="AC379" i="3"/>
  <c r="Z379" i="3"/>
  <c r="J379" i="3"/>
  <c r="I379" i="3"/>
  <c r="BJ370" i="3"/>
  <c r="BH370" i="3"/>
  <c r="AB370" i="3" s="1"/>
  <c r="BF370" i="3"/>
  <c r="BD370" i="3"/>
  <c r="AX370" i="3"/>
  <c r="AP370" i="3"/>
  <c r="I370" i="3" s="1"/>
  <c r="AO370" i="3"/>
  <c r="AK370" i="3"/>
  <c r="AJ370" i="3"/>
  <c r="AH370" i="3"/>
  <c r="AG370" i="3"/>
  <c r="AF370" i="3"/>
  <c r="AE370" i="3"/>
  <c r="AD370" i="3"/>
  <c r="Z370" i="3"/>
  <c r="J370" i="3"/>
  <c r="BJ341" i="3"/>
  <c r="BF341" i="3"/>
  <c r="BD341" i="3"/>
  <c r="AP341" i="3"/>
  <c r="AO341" i="3"/>
  <c r="BH341" i="3" s="1"/>
  <c r="AB341" i="3" s="1"/>
  <c r="AK341" i="3"/>
  <c r="AT340" i="3" s="1"/>
  <c r="AJ341" i="3"/>
  <c r="AS340" i="3" s="1"/>
  <c r="AH341" i="3"/>
  <c r="AG341" i="3"/>
  <c r="AF341" i="3"/>
  <c r="AE341" i="3"/>
  <c r="AD341" i="3"/>
  <c r="Z341" i="3"/>
  <c r="J341" i="3"/>
  <c r="AL341" i="3" s="1"/>
  <c r="H341" i="3"/>
  <c r="BJ337" i="3"/>
  <c r="BH337" i="3"/>
  <c r="AB337" i="3" s="1"/>
  <c r="BF337" i="3"/>
  <c r="BD337" i="3"/>
  <c r="AX337" i="3"/>
  <c r="AP337" i="3"/>
  <c r="I337" i="3" s="1"/>
  <c r="AO337" i="3"/>
  <c r="AK337" i="3"/>
  <c r="AJ337" i="3"/>
  <c r="AH337" i="3"/>
  <c r="AG337" i="3"/>
  <c r="AF337" i="3"/>
  <c r="AE337" i="3"/>
  <c r="AD337" i="3"/>
  <c r="Z337" i="3"/>
  <c r="J337" i="3"/>
  <c r="BJ335" i="3"/>
  <c r="BF335" i="3"/>
  <c r="BD335" i="3"/>
  <c r="AP335" i="3"/>
  <c r="AO335" i="3"/>
  <c r="BH335" i="3" s="1"/>
  <c r="AB335" i="3" s="1"/>
  <c r="AK335" i="3"/>
  <c r="AT334" i="3" s="1"/>
  <c r="AJ335" i="3"/>
  <c r="AS334" i="3" s="1"/>
  <c r="AH335" i="3"/>
  <c r="AG335" i="3"/>
  <c r="AF335" i="3"/>
  <c r="AE335" i="3"/>
  <c r="AD335" i="3"/>
  <c r="Z335" i="3"/>
  <c r="J335" i="3"/>
  <c r="AL335" i="3" s="1"/>
  <c r="H335" i="3"/>
  <c r="BJ332" i="3"/>
  <c r="BH332" i="3"/>
  <c r="AB332" i="3" s="1"/>
  <c r="BF332" i="3"/>
  <c r="BD332" i="3"/>
  <c r="AP332" i="3"/>
  <c r="AO332" i="3"/>
  <c r="AK332" i="3"/>
  <c r="AJ332" i="3"/>
  <c r="AS331" i="3" s="1"/>
  <c r="AH332" i="3"/>
  <c r="AG332" i="3"/>
  <c r="AF332" i="3"/>
  <c r="AE332" i="3"/>
  <c r="AD332" i="3"/>
  <c r="Z332" i="3"/>
  <c r="J332" i="3"/>
  <c r="AT331" i="3"/>
  <c r="BJ328" i="3"/>
  <c r="BH328" i="3"/>
  <c r="AB328" i="3" s="1"/>
  <c r="BF328" i="3"/>
  <c r="BD328" i="3"/>
  <c r="AX328" i="3"/>
  <c r="AW328" i="3"/>
  <c r="AP328" i="3"/>
  <c r="BI328" i="3" s="1"/>
  <c r="AO328" i="3"/>
  <c r="H328" i="3" s="1"/>
  <c r="AL328" i="3"/>
  <c r="AK328" i="3"/>
  <c r="AJ328" i="3"/>
  <c r="AH328" i="3"/>
  <c r="AG328" i="3"/>
  <c r="AF328" i="3"/>
  <c r="AE328" i="3"/>
  <c r="AD328" i="3"/>
  <c r="AC328" i="3"/>
  <c r="Z328" i="3"/>
  <c r="J328" i="3"/>
  <c r="I328" i="3"/>
  <c r="BJ323" i="3"/>
  <c r="BI323" i="3"/>
  <c r="AC323" i="3" s="1"/>
  <c r="BF323" i="3"/>
  <c r="BD323" i="3"/>
  <c r="AX323" i="3"/>
  <c r="AP323" i="3"/>
  <c r="I323" i="3" s="1"/>
  <c r="AO323" i="3"/>
  <c r="AK323" i="3"/>
  <c r="AJ323" i="3"/>
  <c r="AH323" i="3"/>
  <c r="AG323" i="3"/>
  <c r="AF323" i="3"/>
  <c r="AE323" i="3"/>
  <c r="AD323" i="3"/>
  <c r="Z323" i="3"/>
  <c r="J323" i="3"/>
  <c r="AL323" i="3" s="1"/>
  <c r="BJ318" i="3"/>
  <c r="BF318" i="3"/>
  <c r="BD318" i="3"/>
  <c r="AP318" i="3"/>
  <c r="BI318" i="3" s="1"/>
  <c r="AC318" i="3" s="1"/>
  <c r="AO318" i="3"/>
  <c r="BH318" i="3" s="1"/>
  <c r="AK318" i="3"/>
  <c r="AJ318" i="3"/>
  <c r="AH318" i="3"/>
  <c r="AG318" i="3"/>
  <c r="AF318" i="3"/>
  <c r="AE318" i="3"/>
  <c r="AD318" i="3"/>
  <c r="AB318" i="3"/>
  <c r="Z318" i="3"/>
  <c r="J318" i="3"/>
  <c r="AL318" i="3" s="1"/>
  <c r="H318" i="3"/>
  <c r="BJ313" i="3"/>
  <c r="BF313" i="3"/>
  <c r="BD313" i="3"/>
  <c r="AW313" i="3"/>
  <c r="AP313" i="3"/>
  <c r="BI313" i="3" s="1"/>
  <c r="AO313" i="3"/>
  <c r="BH313" i="3" s="1"/>
  <c r="AL313" i="3"/>
  <c r="AK313" i="3"/>
  <c r="AJ313" i="3"/>
  <c r="AH313" i="3"/>
  <c r="AG313" i="3"/>
  <c r="AF313" i="3"/>
  <c r="AE313" i="3"/>
  <c r="AD313" i="3"/>
  <c r="AC313" i="3"/>
  <c r="AB313" i="3"/>
  <c r="Z313" i="3"/>
  <c r="J313" i="3"/>
  <c r="I313" i="3"/>
  <c r="H313" i="3"/>
  <c r="BJ308" i="3"/>
  <c r="BF308" i="3"/>
  <c r="BD308" i="3"/>
  <c r="AX308" i="3"/>
  <c r="AP308" i="3"/>
  <c r="BI308" i="3" s="1"/>
  <c r="AC308" i="3" s="1"/>
  <c r="AO308" i="3"/>
  <c r="H308" i="3" s="1"/>
  <c r="AK308" i="3"/>
  <c r="AJ308" i="3"/>
  <c r="AH308" i="3"/>
  <c r="AG308" i="3"/>
  <c r="AF308" i="3"/>
  <c r="AE308" i="3"/>
  <c r="AD308" i="3"/>
  <c r="Z308" i="3"/>
  <c r="J308" i="3"/>
  <c r="AL308" i="3" s="1"/>
  <c r="I308" i="3"/>
  <c r="BJ305" i="3"/>
  <c r="BH305" i="3"/>
  <c r="AB305" i="3" s="1"/>
  <c r="BF305" i="3"/>
  <c r="BD305" i="3"/>
  <c r="AP305" i="3"/>
  <c r="I305" i="3" s="1"/>
  <c r="AO305" i="3"/>
  <c r="AK305" i="3"/>
  <c r="AJ305" i="3"/>
  <c r="AH305" i="3"/>
  <c r="AG305" i="3"/>
  <c r="AF305" i="3"/>
  <c r="AE305" i="3"/>
  <c r="AD305" i="3"/>
  <c r="Z305" i="3"/>
  <c r="J305" i="3"/>
  <c r="AL305" i="3" s="1"/>
  <c r="BJ302" i="3"/>
  <c r="BI302" i="3"/>
  <c r="AC302" i="3" s="1"/>
  <c r="BF302" i="3"/>
  <c r="BD302" i="3"/>
  <c r="AP302" i="3"/>
  <c r="AO302" i="3"/>
  <c r="BH302" i="3" s="1"/>
  <c r="AK302" i="3"/>
  <c r="AJ302" i="3"/>
  <c r="AH302" i="3"/>
  <c r="AG302" i="3"/>
  <c r="AF302" i="3"/>
  <c r="AE302" i="3"/>
  <c r="AD302" i="3"/>
  <c r="AB302" i="3"/>
  <c r="Z302" i="3"/>
  <c r="J302" i="3"/>
  <c r="AL302" i="3" s="1"/>
  <c r="H302" i="3"/>
  <c r="BJ298" i="3"/>
  <c r="BF298" i="3"/>
  <c r="BD298" i="3"/>
  <c r="AW298" i="3"/>
  <c r="AP298" i="3"/>
  <c r="BI298" i="3" s="1"/>
  <c r="AC298" i="3" s="1"/>
  <c r="AO298" i="3"/>
  <c r="BH298" i="3" s="1"/>
  <c r="AB298" i="3" s="1"/>
  <c r="AL298" i="3"/>
  <c r="AK298" i="3"/>
  <c r="AJ298" i="3"/>
  <c r="AH298" i="3"/>
  <c r="AG298" i="3"/>
  <c r="AF298" i="3"/>
  <c r="AE298" i="3"/>
  <c r="AD298" i="3"/>
  <c r="Z298" i="3"/>
  <c r="J298" i="3"/>
  <c r="I298" i="3"/>
  <c r="H298" i="3"/>
  <c r="BJ295" i="3"/>
  <c r="BH295" i="3"/>
  <c r="AB295" i="3" s="1"/>
  <c r="BF295" i="3"/>
  <c r="BD295" i="3"/>
  <c r="AX295" i="3"/>
  <c r="AW295" i="3"/>
  <c r="AP295" i="3"/>
  <c r="BI295" i="3" s="1"/>
  <c r="AO295" i="3"/>
  <c r="H295" i="3" s="1"/>
  <c r="AL295" i="3"/>
  <c r="AK295" i="3"/>
  <c r="AJ295" i="3"/>
  <c r="AH295" i="3"/>
  <c r="AG295" i="3"/>
  <c r="AF295" i="3"/>
  <c r="AE295" i="3"/>
  <c r="AD295" i="3"/>
  <c r="AC295" i="3"/>
  <c r="Z295" i="3"/>
  <c r="J295" i="3"/>
  <c r="I295" i="3"/>
  <c r="BJ293" i="3"/>
  <c r="BI293" i="3"/>
  <c r="AC293" i="3" s="1"/>
  <c r="BF293" i="3"/>
  <c r="BD293" i="3"/>
  <c r="AX293" i="3"/>
  <c r="AP293" i="3"/>
  <c r="I293" i="3" s="1"/>
  <c r="AO293" i="3"/>
  <c r="AK293" i="3"/>
  <c r="AJ293" i="3"/>
  <c r="AS284" i="3" s="1"/>
  <c r="AH293" i="3"/>
  <c r="AG293" i="3"/>
  <c r="AF293" i="3"/>
  <c r="AE293" i="3"/>
  <c r="AD293" i="3"/>
  <c r="Z293" i="3"/>
  <c r="J293" i="3"/>
  <c r="AL293" i="3" s="1"/>
  <c r="BJ290" i="3"/>
  <c r="BF290" i="3"/>
  <c r="BD290" i="3"/>
  <c r="AP290" i="3"/>
  <c r="BI290" i="3" s="1"/>
  <c r="AC290" i="3" s="1"/>
  <c r="AO290" i="3"/>
  <c r="BH290" i="3" s="1"/>
  <c r="AK290" i="3"/>
  <c r="AJ290" i="3"/>
  <c r="AH290" i="3"/>
  <c r="AG290" i="3"/>
  <c r="AF290" i="3"/>
  <c r="AE290" i="3"/>
  <c r="AD290" i="3"/>
  <c r="AB290" i="3"/>
  <c r="Z290" i="3"/>
  <c r="J290" i="3"/>
  <c r="AL290" i="3" s="1"/>
  <c r="H290" i="3"/>
  <c r="BJ288" i="3"/>
  <c r="BF288" i="3"/>
  <c r="BD288" i="3"/>
  <c r="AW288" i="3"/>
  <c r="AP288" i="3"/>
  <c r="BI288" i="3" s="1"/>
  <c r="AO288" i="3"/>
  <c r="BH288" i="3" s="1"/>
  <c r="AL288" i="3"/>
  <c r="AK288" i="3"/>
  <c r="AT284" i="3" s="1"/>
  <c r="AJ288" i="3"/>
  <c r="AH288" i="3"/>
  <c r="AG288" i="3"/>
  <c r="AF288" i="3"/>
  <c r="AE288" i="3"/>
  <c r="AD288" i="3"/>
  <c r="AC288" i="3"/>
  <c r="AB288" i="3"/>
  <c r="Z288" i="3"/>
  <c r="J288" i="3"/>
  <c r="I288" i="3"/>
  <c r="H288" i="3"/>
  <c r="BJ285" i="3"/>
  <c r="BF285" i="3"/>
  <c r="BD285" i="3"/>
  <c r="AX285" i="3"/>
  <c r="AP285" i="3"/>
  <c r="BI285" i="3" s="1"/>
  <c r="AC285" i="3" s="1"/>
  <c r="AO285" i="3"/>
  <c r="H285" i="3" s="1"/>
  <c r="AK285" i="3"/>
  <c r="AJ285" i="3"/>
  <c r="AH285" i="3"/>
  <c r="AG285" i="3"/>
  <c r="AF285" i="3"/>
  <c r="AE285" i="3"/>
  <c r="AD285" i="3"/>
  <c r="Z285" i="3"/>
  <c r="J285" i="3"/>
  <c r="I285" i="3"/>
  <c r="BJ279" i="3"/>
  <c r="BF279" i="3"/>
  <c r="BD279" i="3"/>
  <c r="AW279" i="3"/>
  <c r="AP279" i="3"/>
  <c r="BI279" i="3" s="1"/>
  <c r="AO279" i="3"/>
  <c r="BH279" i="3" s="1"/>
  <c r="AL279" i="3"/>
  <c r="AK279" i="3"/>
  <c r="AJ279" i="3"/>
  <c r="AH279" i="3"/>
  <c r="AG279" i="3"/>
  <c r="AF279" i="3"/>
  <c r="AE279" i="3"/>
  <c r="AD279" i="3"/>
  <c r="AC279" i="3"/>
  <c r="AB279" i="3"/>
  <c r="Z279" i="3"/>
  <c r="J279" i="3"/>
  <c r="I279" i="3"/>
  <c r="H279" i="3"/>
  <c r="BJ276" i="3"/>
  <c r="BF276" i="3"/>
  <c r="BD276" i="3"/>
  <c r="AX276" i="3"/>
  <c r="AP276" i="3"/>
  <c r="BI276" i="3" s="1"/>
  <c r="AC276" i="3" s="1"/>
  <c r="AO276" i="3"/>
  <c r="H276" i="3" s="1"/>
  <c r="AK276" i="3"/>
  <c r="AJ276" i="3"/>
  <c r="AH276" i="3"/>
  <c r="AG276" i="3"/>
  <c r="AF276" i="3"/>
  <c r="AE276" i="3"/>
  <c r="AD276" i="3"/>
  <c r="Z276" i="3"/>
  <c r="J276" i="3"/>
  <c r="AL276" i="3" s="1"/>
  <c r="I276" i="3"/>
  <c r="BJ274" i="3"/>
  <c r="BH274" i="3"/>
  <c r="AB274" i="3" s="1"/>
  <c r="BF274" i="3"/>
  <c r="BD274" i="3"/>
  <c r="AP274" i="3"/>
  <c r="I274" i="3" s="1"/>
  <c r="AO274" i="3"/>
  <c r="AK274" i="3"/>
  <c r="AJ274" i="3"/>
  <c r="AH274" i="3"/>
  <c r="AG274" i="3"/>
  <c r="AF274" i="3"/>
  <c r="AE274" i="3"/>
  <c r="AD274" i="3"/>
  <c r="Z274" i="3"/>
  <c r="J274" i="3"/>
  <c r="AL274" i="3" s="1"/>
  <c r="BJ271" i="3"/>
  <c r="BI271" i="3"/>
  <c r="AC271" i="3" s="1"/>
  <c r="BF271" i="3"/>
  <c r="BD271" i="3"/>
  <c r="AP271" i="3"/>
  <c r="AO271" i="3"/>
  <c r="BH271" i="3" s="1"/>
  <c r="AK271" i="3"/>
  <c r="AT254" i="3" s="1"/>
  <c r="AJ271" i="3"/>
  <c r="AH271" i="3"/>
  <c r="AG271" i="3"/>
  <c r="AF271" i="3"/>
  <c r="AE271" i="3"/>
  <c r="AD271" i="3"/>
  <c r="AB271" i="3"/>
  <c r="Z271" i="3"/>
  <c r="J271" i="3"/>
  <c r="AL271" i="3" s="1"/>
  <c r="H271" i="3"/>
  <c r="BJ263" i="3"/>
  <c r="BF263" i="3"/>
  <c r="BD263" i="3"/>
  <c r="AW263" i="3"/>
  <c r="AP263" i="3"/>
  <c r="BI263" i="3" s="1"/>
  <c r="AC263" i="3" s="1"/>
  <c r="AO263" i="3"/>
  <c r="BH263" i="3" s="1"/>
  <c r="AB263" i="3" s="1"/>
  <c r="AL263" i="3"/>
  <c r="AK263" i="3"/>
  <c r="AJ263" i="3"/>
  <c r="AH263" i="3"/>
  <c r="AG263" i="3"/>
  <c r="AF263" i="3"/>
  <c r="AE263" i="3"/>
  <c r="AD263" i="3"/>
  <c r="Z263" i="3"/>
  <c r="J263" i="3"/>
  <c r="I263" i="3"/>
  <c r="H263" i="3"/>
  <c r="BJ259" i="3"/>
  <c r="BH259" i="3"/>
  <c r="AB259" i="3" s="1"/>
  <c r="BF259" i="3"/>
  <c r="BD259" i="3"/>
  <c r="AX259" i="3"/>
  <c r="AW259" i="3"/>
  <c r="AP259" i="3"/>
  <c r="BI259" i="3" s="1"/>
  <c r="AO259" i="3"/>
  <c r="H259" i="3" s="1"/>
  <c r="AL259" i="3"/>
  <c r="AK259" i="3"/>
  <c r="AJ259" i="3"/>
  <c r="AH259" i="3"/>
  <c r="AG259" i="3"/>
  <c r="AF259" i="3"/>
  <c r="AE259" i="3"/>
  <c r="AD259" i="3"/>
  <c r="AC259" i="3"/>
  <c r="Z259" i="3"/>
  <c r="J259" i="3"/>
  <c r="I259" i="3"/>
  <c r="BJ255" i="3"/>
  <c r="BI255" i="3"/>
  <c r="AC255" i="3" s="1"/>
  <c r="BF255" i="3"/>
  <c r="BD255" i="3"/>
  <c r="AX255" i="3"/>
  <c r="AP255" i="3"/>
  <c r="I255" i="3" s="1"/>
  <c r="AO255" i="3"/>
  <c r="AK255" i="3"/>
  <c r="AJ255" i="3"/>
  <c r="AH255" i="3"/>
  <c r="AG255" i="3"/>
  <c r="AF255" i="3"/>
  <c r="AE255" i="3"/>
  <c r="AD255" i="3"/>
  <c r="Z255" i="3"/>
  <c r="J255" i="3"/>
  <c r="BJ252" i="3"/>
  <c r="BF252" i="3"/>
  <c r="BD252" i="3"/>
  <c r="AX252" i="3"/>
  <c r="AP252" i="3"/>
  <c r="BI252" i="3" s="1"/>
  <c r="AC252" i="3" s="1"/>
  <c r="AO252" i="3"/>
  <c r="H252" i="3" s="1"/>
  <c r="AK252" i="3"/>
  <c r="AJ252" i="3"/>
  <c r="AH252" i="3"/>
  <c r="AG252" i="3"/>
  <c r="AF252" i="3"/>
  <c r="AE252" i="3"/>
  <c r="AD252" i="3"/>
  <c r="Z252" i="3"/>
  <c r="J252" i="3"/>
  <c r="AL252" i="3" s="1"/>
  <c r="AU239" i="3" s="1"/>
  <c r="I252" i="3"/>
  <c r="BJ250" i="3"/>
  <c r="BH250" i="3"/>
  <c r="AB250" i="3" s="1"/>
  <c r="BF250" i="3"/>
  <c r="BD250" i="3"/>
  <c r="AP250" i="3"/>
  <c r="I250" i="3" s="1"/>
  <c r="AO250" i="3"/>
  <c r="AK250" i="3"/>
  <c r="AJ250" i="3"/>
  <c r="AH250" i="3"/>
  <c r="AG250" i="3"/>
  <c r="AF250" i="3"/>
  <c r="AE250" i="3"/>
  <c r="AD250" i="3"/>
  <c r="Z250" i="3"/>
  <c r="J250" i="3"/>
  <c r="AL250" i="3" s="1"/>
  <c r="BJ248" i="3"/>
  <c r="BI248" i="3"/>
  <c r="AC248" i="3" s="1"/>
  <c r="BF248" i="3"/>
  <c r="BD248" i="3"/>
  <c r="AP248" i="3"/>
  <c r="AO248" i="3"/>
  <c r="BH248" i="3" s="1"/>
  <c r="AK248" i="3"/>
  <c r="AJ248" i="3"/>
  <c r="AH248" i="3"/>
  <c r="AG248" i="3"/>
  <c r="AF248" i="3"/>
  <c r="AE248" i="3"/>
  <c r="AD248" i="3"/>
  <c r="AB248" i="3"/>
  <c r="Z248" i="3"/>
  <c r="J248" i="3"/>
  <c r="AL248" i="3" s="1"/>
  <c r="H248" i="3"/>
  <c r="BJ246" i="3"/>
  <c r="BF246" i="3"/>
  <c r="BD246" i="3"/>
  <c r="AW246" i="3"/>
  <c r="AP246" i="3"/>
  <c r="BI246" i="3" s="1"/>
  <c r="AC246" i="3" s="1"/>
  <c r="AO246" i="3"/>
  <c r="BH246" i="3" s="1"/>
  <c r="AB246" i="3" s="1"/>
  <c r="AL246" i="3"/>
  <c r="AK246" i="3"/>
  <c r="AJ246" i="3"/>
  <c r="AH246" i="3"/>
  <c r="AG246" i="3"/>
  <c r="AF246" i="3"/>
  <c r="AE246" i="3"/>
  <c r="AD246" i="3"/>
  <c r="Z246" i="3"/>
  <c r="J246" i="3"/>
  <c r="I246" i="3"/>
  <c r="H246" i="3"/>
  <c r="BJ244" i="3"/>
  <c r="BH244" i="3"/>
  <c r="AB244" i="3" s="1"/>
  <c r="BF244" i="3"/>
  <c r="BD244" i="3"/>
  <c r="AX244" i="3"/>
  <c r="AW244" i="3"/>
  <c r="AP244" i="3"/>
  <c r="BI244" i="3" s="1"/>
  <c r="AO244" i="3"/>
  <c r="H244" i="3" s="1"/>
  <c r="AL244" i="3"/>
  <c r="AK244" i="3"/>
  <c r="AJ244" i="3"/>
  <c r="AH244" i="3"/>
  <c r="AG244" i="3"/>
  <c r="AF244" i="3"/>
  <c r="AE244" i="3"/>
  <c r="AD244" i="3"/>
  <c r="AC244" i="3"/>
  <c r="Z244" i="3"/>
  <c r="J244" i="3"/>
  <c r="I244" i="3"/>
  <c r="BJ242" i="3"/>
  <c r="BI242" i="3"/>
  <c r="AC242" i="3" s="1"/>
  <c r="BF242" i="3"/>
  <c r="BD242" i="3"/>
  <c r="AX242" i="3"/>
  <c r="AP242" i="3"/>
  <c r="I242" i="3" s="1"/>
  <c r="AO242" i="3"/>
  <c r="AK242" i="3"/>
  <c r="AJ242" i="3"/>
  <c r="AH242" i="3"/>
  <c r="AG242" i="3"/>
  <c r="AF242" i="3"/>
  <c r="AE242" i="3"/>
  <c r="AD242" i="3"/>
  <c r="Z242" i="3"/>
  <c r="J242" i="3"/>
  <c r="AL242" i="3" s="1"/>
  <c r="BJ240" i="3"/>
  <c r="BF240" i="3"/>
  <c r="BD240" i="3"/>
  <c r="AP240" i="3"/>
  <c r="BI240" i="3" s="1"/>
  <c r="AC240" i="3" s="1"/>
  <c r="AO240" i="3"/>
  <c r="BH240" i="3" s="1"/>
  <c r="AK240" i="3"/>
  <c r="AJ240" i="3"/>
  <c r="AH240" i="3"/>
  <c r="AG240" i="3"/>
  <c r="AF240" i="3"/>
  <c r="AE240" i="3"/>
  <c r="AD240" i="3"/>
  <c r="AB240" i="3"/>
  <c r="Z240" i="3"/>
  <c r="J240" i="3"/>
  <c r="AL240" i="3" s="1"/>
  <c r="H240" i="3"/>
  <c r="BJ237" i="3"/>
  <c r="BI237" i="3"/>
  <c r="AC237" i="3" s="1"/>
  <c r="BF237" i="3"/>
  <c r="BD237" i="3"/>
  <c r="AX237" i="3"/>
  <c r="AP237" i="3"/>
  <c r="I237" i="3" s="1"/>
  <c r="AO237" i="3"/>
  <c r="AK237" i="3"/>
  <c r="AJ237" i="3"/>
  <c r="AH237" i="3"/>
  <c r="AG237" i="3"/>
  <c r="AF237" i="3"/>
  <c r="AE237" i="3"/>
  <c r="AD237" i="3"/>
  <c r="Z237" i="3"/>
  <c r="J237" i="3"/>
  <c r="AL237" i="3" s="1"/>
  <c r="BJ235" i="3"/>
  <c r="BF235" i="3"/>
  <c r="BD235" i="3"/>
  <c r="AP235" i="3"/>
  <c r="BI235" i="3" s="1"/>
  <c r="AC235" i="3" s="1"/>
  <c r="AO235" i="3"/>
  <c r="BH235" i="3" s="1"/>
  <c r="AK235" i="3"/>
  <c r="AJ235" i="3"/>
  <c r="AH235" i="3"/>
  <c r="AG235" i="3"/>
  <c r="AF235" i="3"/>
  <c r="AE235" i="3"/>
  <c r="AD235" i="3"/>
  <c r="AB235" i="3"/>
  <c r="Z235" i="3"/>
  <c r="J235" i="3"/>
  <c r="AL235" i="3" s="1"/>
  <c r="H235" i="3"/>
  <c r="BJ233" i="3"/>
  <c r="BF233" i="3"/>
  <c r="BD233" i="3"/>
  <c r="AW233" i="3"/>
  <c r="AP233" i="3"/>
  <c r="BI233" i="3" s="1"/>
  <c r="AO233" i="3"/>
  <c r="BH233" i="3" s="1"/>
  <c r="AL233" i="3"/>
  <c r="AK233" i="3"/>
  <c r="AJ233" i="3"/>
  <c r="AH233" i="3"/>
  <c r="AG233" i="3"/>
  <c r="AF233" i="3"/>
  <c r="AE233" i="3"/>
  <c r="AD233" i="3"/>
  <c r="AC233" i="3"/>
  <c r="AB233" i="3"/>
  <c r="Z233" i="3"/>
  <c r="J233" i="3"/>
  <c r="I233" i="3"/>
  <c r="H233" i="3"/>
  <c r="BJ231" i="3"/>
  <c r="BF231" i="3"/>
  <c r="BD231" i="3"/>
  <c r="AX231" i="3"/>
  <c r="AP231" i="3"/>
  <c r="BI231" i="3" s="1"/>
  <c r="AC231" i="3" s="1"/>
  <c r="AO231" i="3"/>
  <c r="H231" i="3" s="1"/>
  <c r="AK231" i="3"/>
  <c r="AJ231" i="3"/>
  <c r="AH231" i="3"/>
  <c r="AG231" i="3"/>
  <c r="AF231" i="3"/>
  <c r="AE231" i="3"/>
  <c r="AD231" i="3"/>
  <c r="Z231" i="3"/>
  <c r="J231" i="3"/>
  <c r="AL231" i="3" s="1"/>
  <c r="I231" i="3"/>
  <c r="BJ229" i="3"/>
  <c r="BH229" i="3"/>
  <c r="AB229" i="3" s="1"/>
  <c r="BF229" i="3"/>
  <c r="BD229" i="3"/>
  <c r="AP229" i="3"/>
  <c r="I229" i="3" s="1"/>
  <c r="AO229" i="3"/>
  <c r="AK229" i="3"/>
  <c r="AJ229" i="3"/>
  <c r="AH229" i="3"/>
  <c r="AG229" i="3"/>
  <c r="AF229" i="3"/>
  <c r="AE229" i="3"/>
  <c r="AD229" i="3"/>
  <c r="Z229" i="3"/>
  <c r="J229" i="3"/>
  <c r="AL229" i="3" s="1"/>
  <c r="BJ227" i="3"/>
  <c r="BI227" i="3"/>
  <c r="AC227" i="3" s="1"/>
  <c r="BF227" i="3"/>
  <c r="BD227" i="3"/>
  <c r="AP227" i="3"/>
  <c r="AO227" i="3"/>
  <c r="BH227" i="3" s="1"/>
  <c r="AK227" i="3"/>
  <c r="AJ227" i="3"/>
  <c r="AH227" i="3"/>
  <c r="AG227" i="3"/>
  <c r="AF227" i="3"/>
  <c r="AE227" i="3"/>
  <c r="AD227" i="3"/>
  <c r="AB227" i="3"/>
  <c r="Z227" i="3"/>
  <c r="J227" i="3"/>
  <c r="AL227" i="3" s="1"/>
  <c r="H227" i="3"/>
  <c r="BJ224" i="3"/>
  <c r="BF224" i="3"/>
  <c r="BD224" i="3"/>
  <c r="AW224" i="3"/>
  <c r="AP224" i="3"/>
  <c r="BI224" i="3" s="1"/>
  <c r="AC224" i="3" s="1"/>
  <c r="AO224" i="3"/>
  <c r="BH224" i="3" s="1"/>
  <c r="AB224" i="3" s="1"/>
  <c r="AL224" i="3"/>
  <c r="AK224" i="3"/>
  <c r="AJ224" i="3"/>
  <c r="AH224" i="3"/>
  <c r="AG224" i="3"/>
  <c r="AF224" i="3"/>
  <c r="AE224" i="3"/>
  <c r="AD224" i="3"/>
  <c r="Z224" i="3"/>
  <c r="J224" i="3"/>
  <c r="I224" i="3"/>
  <c r="H224" i="3"/>
  <c r="BJ222" i="3"/>
  <c r="BH222" i="3"/>
  <c r="AB222" i="3" s="1"/>
  <c r="BF222" i="3"/>
  <c r="BD222" i="3"/>
  <c r="AX222" i="3"/>
  <c r="AW222" i="3"/>
  <c r="AP222" i="3"/>
  <c r="BI222" i="3" s="1"/>
  <c r="AO222" i="3"/>
  <c r="H222" i="3" s="1"/>
  <c r="AL222" i="3"/>
  <c r="AK222" i="3"/>
  <c r="AJ222" i="3"/>
  <c r="AH222" i="3"/>
  <c r="AG222" i="3"/>
  <c r="AF222" i="3"/>
  <c r="AE222" i="3"/>
  <c r="AD222" i="3"/>
  <c r="AC222" i="3"/>
  <c r="Z222" i="3"/>
  <c r="J222" i="3"/>
  <c r="I222" i="3"/>
  <c r="BJ219" i="3"/>
  <c r="BI219" i="3"/>
  <c r="AC219" i="3" s="1"/>
  <c r="BF219" i="3"/>
  <c r="BD219" i="3"/>
  <c r="AX219" i="3"/>
  <c r="AP219" i="3"/>
  <c r="I219" i="3" s="1"/>
  <c r="AO219" i="3"/>
  <c r="AK219" i="3"/>
  <c r="AJ219" i="3"/>
  <c r="AH219" i="3"/>
  <c r="AG219" i="3"/>
  <c r="AF219" i="3"/>
  <c r="AE219" i="3"/>
  <c r="AD219" i="3"/>
  <c r="Z219" i="3"/>
  <c r="J219" i="3"/>
  <c r="AL219" i="3" s="1"/>
  <c r="BJ216" i="3"/>
  <c r="BF216" i="3"/>
  <c r="BD216" i="3"/>
  <c r="AP216" i="3"/>
  <c r="AO216" i="3"/>
  <c r="BH216" i="3" s="1"/>
  <c r="AK216" i="3"/>
  <c r="AJ216" i="3"/>
  <c r="AH216" i="3"/>
  <c r="AG216" i="3"/>
  <c r="AF216" i="3"/>
  <c r="AE216" i="3"/>
  <c r="AD216" i="3"/>
  <c r="AB216" i="3"/>
  <c r="Z216" i="3"/>
  <c r="J216" i="3"/>
  <c r="AL216" i="3" s="1"/>
  <c r="H216" i="3"/>
  <c r="BJ213" i="3"/>
  <c r="BF213" i="3"/>
  <c r="BD213" i="3"/>
  <c r="AW213" i="3"/>
  <c r="AP213" i="3"/>
  <c r="BI213" i="3" s="1"/>
  <c r="AO213" i="3"/>
  <c r="BH213" i="3" s="1"/>
  <c r="AL213" i="3"/>
  <c r="AK213" i="3"/>
  <c r="AJ213" i="3"/>
  <c r="AH213" i="3"/>
  <c r="AG213" i="3"/>
  <c r="AF213" i="3"/>
  <c r="AE213" i="3"/>
  <c r="AD213" i="3"/>
  <c r="AC213" i="3"/>
  <c r="AB213" i="3"/>
  <c r="Z213" i="3"/>
  <c r="J213" i="3"/>
  <c r="I213" i="3"/>
  <c r="H213" i="3"/>
  <c r="BJ209" i="3"/>
  <c r="BF209" i="3"/>
  <c r="BD209" i="3"/>
  <c r="AX209" i="3"/>
  <c r="AP209" i="3"/>
  <c r="BI209" i="3" s="1"/>
  <c r="AC209" i="3" s="1"/>
  <c r="AO209" i="3"/>
  <c r="H209" i="3" s="1"/>
  <c r="AK209" i="3"/>
  <c r="AJ209" i="3"/>
  <c r="AH209" i="3"/>
  <c r="AG209" i="3"/>
  <c r="AF209" i="3"/>
  <c r="AE209" i="3"/>
  <c r="AD209" i="3"/>
  <c r="Z209" i="3"/>
  <c r="J209" i="3"/>
  <c r="AL209" i="3" s="1"/>
  <c r="I209" i="3"/>
  <c r="BJ207" i="3"/>
  <c r="BH207" i="3"/>
  <c r="AB207" i="3" s="1"/>
  <c r="BF207" i="3"/>
  <c r="BD207" i="3"/>
  <c r="AP207" i="3"/>
  <c r="I207" i="3" s="1"/>
  <c r="AO207" i="3"/>
  <c r="AK207" i="3"/>
  <c r="AJ207" i="3"/>
  <c r="AH207" i="3"/>
  <c r="AG207" i="3"/>
  <c r="AF207" i="3"/>
  <c r="AE207" i="3"/>
  <c r="AD207" i="3"/>
  <c r="Z207" i="3"/>
  <c r="J207" i="3"/>
  <c r="AL207" i="3" s="1"/>
  <c r="BJ205" i="3"/>
  <c r="BI205" i="3"/>
  <c r="AC205" i="3" s="1"/>
  <c r="BF205" i="3"/>
  <c r="BD205" i="3"/>
  <c r="AP205" i="3"/>
  <c r="AO205" i="3"/>
  <c r="BH205" i="3" s="1"/>
  <c r="AK205" i="3"/>
  <c r="AT185" i="3" s="1"/>
  <c r="AJ205" i="3"/>
  <c r="AH205" i="3"/>
  <c r="AG205" i="3"/>
  <c r="AF205" i="3"/>
  <c r="AE205" i="3"/>
  <c r="AD205" i="3"/>
  <c r="AB205" i="3"/>
  <c r="Z205" i="3"/>
  <c r="J205" i="3"/>
  <c r="AL205" i="3" s="1"/>
  <c r="H205" i="3"/>
  <c r="BJ203" i="3"/>
  <c r="BF203" i="3"/>
  <c r="BD203" i="3"/>
  <c r="AW203" i="3"/>
  <c r="AP203" i="3"/>
  <c r="BI203" i="3" s="1"/>
  <c r="AC203" i="3" s="1"/>
  <c r="AO203" i="3"/>
  <c r="BH203" i="3" s="1"/>
  <c r="AB203" i="3" s="1"/>
  <c r="AL203" i="3"/>
  <c r="AK203" i="3"/>
  <c r="AJ203" i="3"/>
  <c r="AH203" i="3"/>
  <c r="AG203" i="3"/>
  <c r="AF203" i="3"/>
  <c r="AE203" i="3"/>
  <c r="AD203" i="3"/>
  <c r="Z203" i="3"/>
  <c r="J203" i="3"/>
  <c r="I203" i="3"/>
  <c r="H203" i="3"/>
  <c r="BJ189" i="3"/>
  <c r="BH189" i="3"/>
  <c r="AB189" i="3" s="1"/>
  <c r="BF189" i="3"/>
  <c r="BD189" i="3"/>
  <c r="AX189" i="3"/>
  <c r="AW189" i="3"/>
  <c r="AP189" i="3"/>
  <c r="BI189" i="3" s="1"/>
  <c r="AO189" i="3"/>
  <c r="H189" i="3" s="1"/>
  <c r="AL189" i="3"/>
  <c r="AK189" i="3"/>
  <c r="AJ189" i="3"/>
  <c r="AH189" i="3"/>
  <c r="AG189" i="3"/>
  <c r="AF189" i="3"/>
  <c r="AE189" i="3"/>
  <c r="AD189" i="3"/>
  <c r="AC189" i="3"/>
  <c r="Z189" i="3"/>
  <c r="J189" i="3"/>
  <c r="I189" i="3"/>
  <c r="BJ186" i="3"/>
  <c r="BI186" i="3"/>
  <c r="AC186" i="3" s="1"/>
  <c r="BF186" i="3"/>
  <c r="BD186" i="3"/>
  <c r="AX186" i="3"/>
  <c r="AP186" i="3"/>
  <c r="I186" i="3" s="1"/>
  <c r="AO186" i="3"/>
  <c r="AK186" i="3"/>
  <c r="AJ186" i="3"/>
  <c r="AH186" i="3"/>
  <c r="AG186" i="3"/>
  <c r="AF186" i="3"/>
  <c r="AE186" i="3"/>
  <c r="AD186" i="3"/>
  <c r="Z186" i="3"/>
  <c r="J186" i="3"/>
  <c r="BJ183" i="3"/>
  <c r="BF183" i="3"/>
  <c r="BD183" i="3"/>
  <c r="AX183" i="3"/>
  <c r="AP183" i="3"/>
  <c r="BI183" i="3" s="1"/>
  <c r="AC183" i="3" s="1"/>
  <c r="AO183" i="3"/>
  <c r="H183" i="3" s="1"/>
  <c r="AK183" i="3"/>
  <c r="AJ183" i="3"/>
  <c r="AH183" i="3"/>
  <c r="AG183" i="3"/>
  <c r="AF183" i="3"/>
  <c r="AE183" i="3"/>
  <c r="AD183" i="3"/>
  <c r="Z183" i="3"/>
  <c r="J183" i="3"/>
  <c r="AL183" i="3" s="1"/>
  <c r="I183" i="3"/>
  <c r="BJ181" i="3"/>
  <c r="BH181" i="3"/>
  <c r="AB181" i="3" s="1"/>
  <c r="BF181" i="3"/>
  <c r="BD181" i="3"/>
  <c r="AP181" i="3"/>
  <c r="I181" i="3" s="1"/>
  <c r="AO181" i="3"/>
  <c r="AK181" i="3"/>
  <c r="AJ181" i="3"/>
  <c r="AH181" i="3"/>
  <c r="AG181" i="3"/>
  <c r="AF181" i="3"/>
  <c r="AE181" i="3"/>
  <c r="AD181" i="3"/>
  <c r="Z181" i="3"/>
  <c r="J181" i="3"/>
  <c r="AL181" i="3" s="1"/>
  <c r="BJ179" i="3"/>
  <c r="BI179" i="3"/>
  <c r="AC179" i="3" s="1"/>
  <c r="BF179" i="3"/>
  <c r="BD179" i="3"/>
  <c r="AP179" i="3"/>
  <c r="AO179" i="3"/>
  <c r="BH179" i="3" s="1"/>
  <c r="AK179" i="3"/>
  <c r="AJ179" i="3"/>
  <c r="AH179" i="3"/>
  <c r="AG179" i="3"/>
  <c r="AF179" i="3"/>
  <c r="AE179" i="3"/>
  <c r="AD179" i="3"/>
  <c r="AB179" i="3"/>
  <c r="Z179" i="3"/>
  <c r="J179" i="3"/>
  <c r="AL179" i="3" s="1"/>
  <c r="H179" i="3"/>
  <c r="BJ176" i="3"/>
  <c r="BF176" i="3"/>
  <c r="BD176" i="3"/>
  <c r="AW176" i="3"/>
  <c r="AP176" i="3"/>
  <c r="BI176" i="3" s="1"/>
  <c r="AC176" i="3" s="1"/>
  <c r="AO176" i="3"/>
  <c r="BH176" i="3" s="1"/>
  <c r="AB176" i="3" s="1"/>
  <c r="AL176" i="3"/>
  <c r="AK176" i="3"/>
  <c r="AJ176" i="3"/>
  <c r="AH176" i="3"/>
  <c r="AG176" i="3"/>
  <c r="AF176" i="3"/>
  <c r="AE176" i="3"/>
  <c r="AD176" i="3"/>
  <c r="Z176" i="3"/>
  <c r="J176" i="3"/>
  <c r="I176" i="3"/>
  <c r="H176" i="3"/>
  <c r="BJ173" i="3"/>
  <c r="BH173" i="3"/>
  <c r="AB173" i="3" s="1"/>
  <c r="BF173" i="3"/>
  <c r="BD173" i="3"/>
  <c r="AX173" i="3"/>
  <c r="AW173" i="3"/>
  <c r="AP173" i="3"/>
  <c r="BI173" i="3" s="1"/>
  <c r="AO173" i="3"/>
  <c r="H173" i="3" s="1"/>
  <c r="AL173" i="3"/>
  <c r="AK173" i="3"/>
  <c r="AJ173" i="3"/>
  <c r="AH173" i="3"/>
  <c r="AG173" i="3"/>
  <c r="AF173" i="3"/>
  <c r="AE173" i="3"/>
  <c r="AD173" i="3"/>
  <c r="AC173" i="3"/>
  <c r="Z173" i="3"/>
  <c r="J173" i="3"/>
  <c r="I173" i="3"/>
  <c r="BJ171" i="3"/>
  <c r="BI171" i="3"/>
  <c r="AC171" i="3" s="1"/>
  <c r="BF171" i="3"/>
  <c r="BD171" i="3"/>
  <c r="AX171" i="3"/>
  <c r="AP171" i="3"/>
  <c r="I171" i="3" s="1"/>
  <c r="AO171" i="3"/>
  <c r="AK171" i="3"/>
  <c r="AJ171" i="3"/>
  <c r="AH171" i="3"/>
  <c r="AG171" i="3"/>
  <c r="AF171" i="3"/>
  <c r="AE171" i="3"/>
  <c r="AD171" i="3"/>
  <c r="Z171" i="3"/>
  <c r="J171" i="3"/>
  <c r="AL171" i="3" s="1"/>
  <c r="BJ168" i="3"/>
  <c r="BF168" i="3"/>
  <c r="BD168" i="3"/>
  <c r="AP168" i="3"/>
  <c r="BI168" i="3" s="1"/>
  <c r="AC168" i="3" s="1"/>
  <c r="AO168" i="3"/>
  <c r="BH168" i="3" s="1"/>
  <c r="AK168" i="3"/>
  <c r="AJ168" i="3"/>
  <c r="AH168" i="3"/>
  <c r="AG168" i="3"/>
  <c r="AF168" i="3"/>
  <c r="AE168" i="3"/>
  <c r="AD168" i="3"/>
  <c r="AB168" i="3"/>
  <c r="Z168" i="3"/>
  <c r="J168" i="3"/>
  <c r="AL168" i="3" s="1"/>
  <c r="H168" i="3"/>
  <c r="BJ166" i="3"/>
  <c r="BF166" i="3"/>
  <c r="BD166" i="3"/>
  <c r="AW166" i="3"/>
  <c r="AP166" i="3"/>
  <c r="BI166" i="3" s="1"/>
  <c r="AO166" i="3"/>
  <c r="BH166" i="3" s="1"/>
  <c r="AL166" i="3"/>
  <c r="AK166" i="3"/>
  <c r="AJ166" i="3"/>
  <c r="AH166" i="3"/>
  <c r="AG166" i="3"/>
  <c r="AF166" i="3"/>
  <c r="AE166" i="3"/>
  <c r="AD166" i="3"/>
  <c r="AC166" i="3"/>
  <c r="AB166" i="3"/>
  <c r="Z166" i="3"/>
  <c r="J166" i="3"/>
  <c r="I166" i="3"/>
  <c r="H166" i="3"/>
  <c r="BJ164" i="3"/>
  <c r="BF164" i="3"/>
  <c r="BD164" i="3"/>
  <c r="AX164" i="3"/>
  <c r="AP164" i="3"/>
  <c r="BI164" i="3" s="1"/>
  <c r="AC164" i="3" s="1"/>
  <c r="AO164" i="3"/>
  <c r="H164" i="3" s="1"/>
  <c r="AK164" i="3"/>
  <c r="AJ164" i="3"/>
  <c r="AH164" i="3"/>
  <c r="AG164" i="3"/>
  <c r="AF164" i="3"/>
  <c r="AE164" i="3"/>
  <c r="AD164" i="3"/>
  <c r="Z164" i="3"/>
  <c r="J164" i="3"/>
  <c r="AL164" i="3" s="1"/>
  <c r="I164" i="3"/>
  <c r="BJ162" i="3"/>
  <c r="BH162" i="3"/>
  <c r="AB162" i="3" s="1"/>
  <c r="BF162" i="3"/>
  <c r="BD162" i="3"/>
  <c r="AP162" i="3"/>
  <c r="I162" i="3" s="1"/>
  <c r="AO162" i="3"/>
  <c r="AK162" i="3"/>
  <c r="AJ162" i="3"/>
  <c r="AH162" i="3"/>
  <c r="AG162" i="3"/>
  <c r="AF162" i="3"/>
  <c r="AE162" i="3"/>
  <c r="AD162" i="3"/>
  <c r="Z162" i="3"/>
  <c r="J162" i="3"/>
  <c r="AL162" i="3" s="1"/>
  <c r="BJ159" i="3"/>
  <c r="BI159" i="3"/>
  <c r="AC159" i="3" s="1"/>
  <c r="BF159" i="3"/>
  <c r="BD159" i="3"/>
  <c r="AP159" i="3"/>
  <c r="AO159" i="3"/>
  <c r="BH159" i="3" s="1"/>
  <c r="AK159" i="3"/>
  <c r="AJ159" i="3"/>
  <c r="AS145" i="3" s="1"/>
  <c r="AH159" i="3"/>
  <c r="AG159" i="3"/>
  <c r="AF159" i="3"/>
  <c r="AE159" i="3"/>
  <c r="AD159" i="3"/>
  <c r="AB159" i="3"/>
  <c r="Z159" i="3"/>
  <c r="J159" i="3"/>
  <c r="AL159" i="3" s="1"/>
  <c r="H159" i="3"/>
  <c r="BJ156" i="3"/>
  <c r="BF156" i="3"/>
  <c r="BD156" i="3"/>
  <c r="AW156" i="3"/>
  <c r="AP156" i="3"/>
  <c r="BI156" i="3" s="1"/>
  <c r="AC156" i="3" s="1"/>
  <c r="AO156" i="3"/>
  <c r="BH156" i="3" s="1"/>
  <c r="AB156" i="3" s="1"/>
  <c r="AL156" i="3"/>
  <c r="AK156" i="3"/>
  <c r="AJ156" i="3"/>
  <c r="AH156" i="3"/>
  <c r="AG156" i="3"/>
  <c r="AF156" i="3"/>
  <c r="AE156" i="3"/>
  <c r="AD156" i="3"/>
  <c r="Z156" i="3"/>
  <c r="J156" i="3"/>
  <c r="I156" i="3"/>
  <c r="H156" i="3"/>
  <c r="BJ153" i="3"/>
  <c r="BH153" i="3"/>
  <c r="AB153" i="3" s="1"/>
  <c r="BF153" i="3"/>
  <c r="BD153" i="3"/>
  <c r="AX153" i="3"/>
  <c r="AW153" i="3"/>
  <c r="AP153" i="3"/>
  <c r="BI153" i="3" s="1"/>
  <c r="AO153" i="3"/>
  <c r="H153" i="3" s="1"/>
  <c r="AL153" i="3"/>
  <c r="AK153" i="3"/>
  <c r="AJ153" i="3"/>
  <c r="AH153" i="3"/>
  <c r="AG153" i="3"/>
  <c r="AF153" i="3"/>
  <c r="AE153" i="3"/>
  <c r="AD153" i="3"/>
  <c r="AC153" i="3"/>
  <c r="Z153" i="3"/>
  <c r="J153" i="3"/>
  <c r="I153" i="3"/>
  <c r="BJ151" i="3"/>
  <c r="BI151" i="3"/>
  <c r="AC151" i="3" s="1"/>
  <c r="BF151" i="3"/>
  <c r="BD151" i="3"/>
  <c r="AX151" i="3"/>
  <c r="AP151" i="3"/>
  <c r="I151" i="3" s="1"/>
  <c r="AO151" i="3"/>
  <c r="AK151" i="3"/>
  <c r="AJ151" i="3"/>
  <c r="AH151" i="3"/>
  <c r="AG151" i="3"/>
  <c r="AF151" i="3"/>
  <c r="AE151" i="3"/>
  <c r="AD151" i="3"/>
  <c r="Z151" i="3"/>
  <c r="J151" i="3"/>
  <c r="AL151" i="3" s="1"/>
  <c r="BJ149" i="3"/>
  <c r="BF149" i="3"/>
  <c r="BD149" i="3"/>
  <c r="AP149" i="3"/>
  <c r="AO149" i="3"/>
  <c r="BH149" i="3" s="1"/>
  <c r="AK149" i="3"/>
  <c r="AJ149" i="3"/>
  <c r="AH149" i="3"/>
  <c r="AG149" i="3"/>
  <c r="AF149" i="3"/>
  <c r="AE149" i="3"/>
  <c r="AD149" i="3"/>
  <c r="AB149" i="3"/>
  <c r="Z149" i="3"/>
  <c r="J149" i="3"/>
  <c r="AL149" i="3" s="1"/>
  <c r="H149" i="3"/>
  <c r="BJ146" i="3"/>
  <c r="BF146" i="3"/>
  <c r="BD146" i="3"/>
  <c r="AW146" i="3"/>
  <c r="AP146" i="3"/>
  <c r="BI146" i="3" s="1"/>
  <c r="AO146" i="3"/>
  <c r="BH146" i="3" s="1"/>
  <c r="AL146" i="3"/>
  <c r="AK146" i="3"/>
  <c r="AT145" i="3" s="1"/>
  <c r="AJ146" i="3"/>
  <c r="AH146" i="3"/>
  <c r="AG146" i="3"/>
  <c r="AF146" i="3"/>
  <c r="AE146" i="3"/>
  <c r="AD146" i="3"/>
  <c r="AC146" i="3"/>
  <c r="AB146" i="3"/>
  <c r="Z146" i="3"/>
  <c r="J146" i="3"/>
  <c r="I146" i="3"/>
  <c r="H146" i="3"/>
  <c r="BJ143" i="3"/>
  <c r="BI143" i="3"/>
  <c r="AC143" i="3" s="1"/>
  <c r="BF143" i="3"/>
  <c r="BD143" i="3"/>
  <c r="AP143" i="3"/>
  <c r="AO143" i="3"/>
  <c r="BH143" i="3" s="1"/>
  <c r="AK143" i="3"/>
  <c r="AJ143" i="3"/>
  <c r="AH143" i="3"/>
  <c r="AG143" i="3"/>
  <c r="AF143" i="3"/>
  <c r="AE143" i="3"/>
  <c r="AD143" i="3"/>
  <c r="AB143" i="3"/>
  <c r="Z143" i="3"/>
  <c r="J143" i="3"/>
  <c r="AL143" i="3" s="1"/>
  <c r="H143" i="3"/>
  <c r="BJ141" i="3"/>
  <c r="BF141" i="3"/>
  <c r="BD141" i="3"/>
  <c r="AW141" i="3"/>
  <c r="AP141" i="3"/>
  <c r="BI141" i="3" s="1"/>
  <c r="AC141" i="3" s="1"/>
  <c r="AO141" i="3"/>
  <c r="BH141" i="3" s="1"/>
  <c r="AB141" i="3" s="1"/>
  <c r="AL141" i="3"/>
  <c r="AK141" i="3"/>
  <c r="AJ141" i="3"/>
  <c r="AH141" i="3"/>
  <c r="AG141" i="3"/>
  <c r="AF141" i="3"/>
  <c r="AE141" i="3"/>
  <c r="AD141" i="3"/>
  <c r="Z141" i="3"/>
  <c r="J141" i="3"/>
  <c r="I141" i="3"/>
  <c r="H141" i="3"/>
  <c r="BJ139" i="3"/>
  <c r="BH139" i="3"/>
  <c r="AB139" i="3" s="1"/>
  <c r="BF139" i="3"/>
  <c r="BD139" i="3"/>
  <c r="AX139" i="3"/>
  <c r="AW139" i="3"/>
  <c r="AP139" i="3"/>
  <c r="BI139" i="3" s="1"/>
  <c r="AO139" i="3"/>
  <c r="H139" i="3" s="1"/>
  <c r="AL139" i="3"/>
  <c r="AK139" i="3"/>
  <c r="AJ139" i="3"/>
  <c r="AH139" i="3"/>
  <c r="AG139" i="3"/>
  <c r="AF139" i="3"/>
  <c r="AE139" i="3"/>
  <c r="AD139" i="3"/>
  <c r="AC139" i="3"/>
  <c r="Z139" i="3"/>
  <c r="J139" i="3"/>
  <c r="I139" i="3"/>
  <c r="BJ136" i="3"/>
  <c r="BI136" i="3"/>
  <c r="AC136" i="3" s="1"/>
  <c r="BF136" i="3"/>
  <c r="BD136" i="3"/>
  <c r="AX136" i="3"/>
  <c r="AP136" i="3"/>
  <c r="I136" i="3" s="1"/>
  <c r="AO136" i="3"/>
  <c r="AK136" i="3"/>
  <c r="AJ136" i="3"/>
  <c r="AH136" i="3"/>
  <c r="AG136" i="3"/>
  <c r="AF136" i="3"/>
  <c r="AE136" i="3"/>
  <c r="AD136" i="3"/>
  <c r="Z136" i="3"/>
  <c r="J136" i="3"/>
  <c r="AL136" i="3" s="1"/>
  <c r="BJ134" i="3"/>
  <c r="BF134" i="3"/>
  <c r="BD134" i="3"/>
  <c r="AP134" i="3"/>
  <c r="AO134" i="3"/>
  <c r="BH134" i="3" s="1"/>
  <c r="AK134" i="3"/>
  <c r="AJ134" i="3"/>
  <c r="AH134" i="3"/>
  <c r="AG134" i="3"/>
  <c r="AF134" i="3"/>
  <c r="AE134" i="3"/>
  <c r="AD134" i="3"/>
  <c r="AB134" i="3"/>
  <c r="Z134" i="3"/>
  <c r="J134" i="3"/>
  <c r="AL134" i="3" s="1"/>
  <c r="H134" i="3"/>
  <c r="BJ132" i="3"/>
  <c r="BF132" i="3"/>
  <c r="BD132" i="3"/>
  <c r="AW132" i="3"/>
  <c r="AP132" i="3"/>
  <c r="BI132" i="3" s="1"/>
  <c r="AO132" i="3"/>
  <c r="BH132" i="3" s="1"/>
  <c r="AL132" i="3"/>
  <c r="AK132" i="3"/>
  <c r="AJ132" i="3"/>
  <c r="AH132" i="3"/>
  <c r="AG132" i="3"/>
  <c r="AF132" i="3"/>
  <c r="AE132" i="3"/>
  <c r="AD132" i="3"/>
  <c r="AC132" i="3"/>
  <c r="AB132" i="3"/>
  <c r="Z132" i="3"/>
  <c r="J132" i="3"/>
  <c r="I132" i="3"/>
  <c r="H132" i="3"/>
  <c r="BJ129" i="3"/>
  <c r="BF129" i="3"/>
  <c r="BD129" i="3"/>
  <c r="AX129" i="3"/>
  <c r="AP129" i="3"/>
  <c r="BI129" i="3" s="1"/>
  <c r="AC129" i="3" s="1"/>
  <c r="AO129" i="3"/>
  <c r="H129" i="3" s="1"/>
  <c r="AK129" i="3"/>
  <c r="AJ129" i="3"/>
  <c r="AH129" i="3"/>
  <c r="AG129" i="3"/>
  <c r="AF129" i="3"/>
  <c r="AE129" i="3"/>
  <c r="AD129" i="3"/>
  <c r="Z129" i="3"/>
  <c r="J129" i="3"/>
  <c r="AL129" i="3" s="1"/>
  <c r="I129" i="3"/>
  <c r="BJ127" i="3"/>
  <c r="BH127" i="3"/>
  <c r="AB127" i="3" s="1"/>
  <c r="BF127" i="3"/>
  <c r="BD127" i="3"/>
  <c r="AP127" i="3"/>
  <c r="I127" i="3" s="1"/>
  <c r="AO127" i="3"/>
  <c r="AK127" i="3"/>
  <c r="AJ127" i="3"/>
  <c r="AH127" i="3"/>
  <c r="AG127" i="3"/>
  <c r="AF127" i="3"/>
  <c r="AE127" i="3"/>
  <c r="AD127" i="3"/>
  <c r="Z127" i="3"/>
  <c r="J127" i="3"/>
  <c r="AL127" i="3" s="1"/>
  <c r="BJ124" i="3"/>
  <c r="BI124" i="3"/>
  <c r="AC124" i="3" s="1"/>
  <c r="BF124" i="3"/>
  <c r="BD124" i="3"/>
  <c r="AP124" i="3"/>
  <c r="AO124" i="3"/>
  <c r="BH124" i="3" s="1"/>
  <c r="AK124" i="3"/>
  <c r="AJ124" i="3"/>
  <c r="AH124" i="3"/>
  <c r="AG124" i="3"/>
  <c r="AF124" i="3"/>
  <c r="AE124" i="3"/>
  <c r="AD124" i="3"/>
  <c r="AB124" i="3"/>
  <c r="Z124" i="3"/>
  <c r="J124" i="3"/>
  <c r="AL124" i="3" s="1"/>
  <c r="H124" i="3"/>
  <c r="BJ122" i="3"/>
  <c r="BF122" i="3"/>
  <c r="BD122" i="3"/>
  <c r="AW122" i="3"/>
  <c r="AP122" i="3"/>
  <c r="BI122" i="3" s="1"/>
  <c r="AC122" i="3" s="1"/>
  <c r="AO122" i="3"/>
  <c r="BH122" i="3" s="1"/>
  <c r="AB122" i="3" s="1"/>
  <c r="AL122" i="3"/>
  <c r="AK122" i="3"/>
  <c r="AJ122" i="3"/>
  <c r="AH122" i="3"/>
  <c r="AG122" i="3"/>
  <c r="AF122" i="3"/>
  <c r="AE122" i="3"/>
  <c r="AD122" i="3"/>
  <c r="Z122" i="3"/>
  <c r="J122" i="3"/>
  <c r="I122" i="3"/>
  <c r="H122" i="3"/>
  <c r="BJ120" i="3"/>
  <c r="BH120" i="3"/>
  <c r="AB120" i="3" s="1"/>
  <c r="BF120" i="3"/>
  <c r="BD120" i="3"/>
  <c r="AX120" i="3"/>
  <c r="AW120" i="3"/>
  <c r="AP120" i="3"/>
  <c r="BI120" i="3" s="1"/>
  <c r="AO120" i="3"/>
  <c r="H120" i="3" s="1"/>
  <c r="AL120" i="3"/>
  <c r="AK120" i="3"/>
  <c r="AJ120" i="3"/>
  <c r="AH120" i="3"/>
  <c r="AG120" i="3"/>
  <c r="AF120" i="3"/>
  <c r="AE120" i="3"/>
  <c r="AD120" i="3"/>
  <c r="AC120" i="3"/>
  <c r="Z120" i="3"/>
  <c r="J120" i="3"/>
  <c r="I120" i="3"/>
  <c r="BJ118" i="3"/>
  <c r="BI118" i="3"/>
  <c r="AC118" i="3" s="1"/>
  <c r="BF118" i="3"/>
  <c r="BD118" i="3"/>
  <c r="AX118" i="3"/>
  <c r="AP118" i="3"/>
  <c r="I118" i="3" s="1"/>
  <c r="AO118" i="3"/>
  <c r="AK118" i="3"/>
  <c r="AJ118" i="3"/>
  <c r="AS108" i="3" s="1"/>
  <c r="AH118" i="3"/>
  <c r="AG118" i="3"/>
  <c r="AF118" i="3"/>
  <c r="AE118" i="3"/>
  <c r="AD118" i="3"/>
  <c r="Z118" i="3"/>
  <c r="J118" i="3"/>
  <c r="AL118" i="3" s="1"/>
  <c r="BJ115" i="3"/>
  <c r="BF115" i="3"/>
  <c r="BD115" i="3"/>
  <c r="AP115" i="3"/>
  <c r="AO115" i="3"/>
  <c r="BH115" i="3" s="1"/>
  <c r="AK115" i="3"/>
  <c r="AJ115" i="3"/>
  <c r="AH115" i="3"/>
  <c r="AG115" i="3"/>
  <c r="AF115" i="3"/>
  <c r="AE115" i="3"/>
  <c r="AD115" i="3"/>
  <c r="AB115" i="3"/>
  <c r="Z115" i="3"/>
  <c r="J115" i="3"/>
  <c r="AL115" i="3" s="1"/>
  <c r="H115" i="3"/>
  <c r="BJ113" i="3"/>
  <c r="BF113" i="3"/>
  <c r="BD113" i="3"/>
  <c r="AW113" i="3"/>
  <c r="AP113" i="3"/>
  <c r="BI113" i="3" s="1"/>
  <c r="AO113" i="3"/>
  <c r="BH113" i="3" s="1"/>
  <c r="AL113" i="3"/>
  <c r="AK113" i="3"/>
  <c r="AT108" i="3" s="1"/>
  <c r="AJ113" i="3"/>
  <c r="AH113" i="3"/>
  <c r="AG113" i="3"/>
  <c r="AF113" i="3"/>
  <c r="AE113" i="3"/>
  <c r="AD113" i="3"/>
  <c r="AC113" i="3"/>
  <c r="AB113" i="3"/>
  <c r="Z113" i="3"/>
  <c r="J113" i="3"/>
  <c r="I113" i="3"/>
  <c r="H113" i="3"/>
  <c r="BJ109" i="3"/>
  <c r="BF109" i="3"/>
  <c r="BD109" i="3"/>
  <c r="AX109" i="3"/>
  <c r="AP109" i="3"/>
  <c r="BI109" i="3" s="1"/>
  <c r="AC109" i="3" s="1"/>
  <c r="AO109" i="3"/>
  <c r="H109" i="3" s="1"/>
  <c r="AK109" i="3"/>
  <c r="AJ109" i="3"/>
  <c r="AH109" i="3"/>
  <c r="AG109" i="3"/>
  <c r="AF109" i="3"/>
  <c r="AE109" i="3"/>
  <c r="AD109" i="3"/>
  <c r="Z109" i="3"/>
  <c r="J109" i="3"/>
  <c r="I109" i="3"/>
  <c r="BJ106" i="3"/>
  <c r="BF106" i="3"/>
  <c r="BD106" i="3"/>
  <c r="AW106" i="3"/>
  <c r="AP106" i="3"/>
  <c r="BI106" i="3" s="1"/>
  <c r="AO106" i="3"/>
  <c r="BH106" i="3" s="1"/>
  <c r="AL106" i="3"/>
  <c r="AK106" i="3"/>
  <c r="AT103" i="3" s="1"/>
  <c r="AJ106" i="3"/>
  <c r="AH106" i="3"/>
  <c r="AG106" i="3"/>
  <c r="AF106" i="3"/>
  <c r="AE106" i="3"/>
  <c r="AD106" i="3"/>
  <c r="AC106" i="3"/>
  <c r="AB106" i="3"/>
  <c r="Z106" i="3"/>
  <c r="J106" i="3"/>
  <c r="I106" i="3"/>
  <c r="H106" i="3"/>
  <c r="BJ104" i="3"/>
  <c r="BF104" i="3"/>
  <c r="BD104" i="3"/>
  <c r="AX104" i="3"/>
  <c r="AP104" i="3"/>
  <c r="BI104" i="3" s="1"/>
  <c r="AC104" i="3" s="1"/>
  <c r="AO104" i="3"/>
  <c r="H104" i="3" s="1"/>
  <c r="H103" i="3" s="1"/>
  <c r="AK104" i="3"/>
  <c r="AJ104" i="3"/>
  <c r="AH104" i="3"/>
  <c r="AG104" i="3"/>
  <c r="AF104" i="3"/>
  <c r="AE104" i="3"/>
  <c r="AD104" i="3"/>
  <c r="Z104" i="3"/>
  <c r="J104" i="3"/>
  <c r="J103" i="3" s="1"/>
  <c r="I104" i="3"/>
  <c r="I103" i="3" s="1"/>
  <c r="AS103" i="3"/>
  <c r="BJ97" i="3"/>
  <c r="BF97" i="3"/>
  <c r="BD97" i="3"/>
  <c r="AW97" i="3"/>
  <c r="AP97" i="3"/>
  <c r="BI97" i="3" s="1"/>
  <c r="AO97" i="3"/>
  <c r="BH97" i="3" s="1"/>
  <c r="AL97" i="3"/>
  <c r="AK97" i="3"/>
  <c r="AJ97" i="3"/>
  <c r="AH97" i="3"/>
  <c r="AG97" i="3"/>
  <c r="AF97" i="3"/>
  <c r="AE97" i="3"/>
  <c r="AD97" i="3"/>
  <c r="AC97" i="3"/>
  <c r="AB97" i="3"/>
  <c r="Z97" i="3"/>
  <c r="J97" i="3"/>
  <c r="I97" i="3"/>
  <c r="H97" i="3"/>
  <c r="BJ90" i="3"/>
  <c r="BF90" i="3"/>
  <c r="BD90" i="3"/>
  <c r="AX90" i="3"/>
  <c r="AP90" i="3"/>
  <c r="BI90" i="3" s="1"/>
  <c r="AC90" i="3" s="1"/>
  <c r="AO90" i="3"/>
  <c r="H90" i="3" s="1"/>
  <c r="AK90" i="3"/>
  <c r="AJ90" i="3"/>
  <c r="AH90" i="3"/>
  <c r="AG90" i="3"/>
  <c r="AF90" i="3"/>
  <c r="AE90" i="3"/>
  <c r="AD90" i="3"/>
  <c r="Z90" i="3"/>
  <c r="J90" i="3"/>
  <c r="AL90" i="3" s="1"/>
  <c r="I90" i="3"/>
  <c r="BJ87" i="3"/>
  <c r="BH87" i="3"/>
  <c r="AB87" i="3" s="1"/>
  <c r="BF87" i="3"/>
  <c r="BD87" i="3"/>
  <c r="AP87" i="3"/>
  <c r="I87" i="3" s="1"/>
  <c r="AO87" i="3"/>
  <c r="AK87" i="3"/>
  <c r="AJ87" i="3"/>
  <c r="AH87" i="3"/>
  <c r="AG87" i="3"/>
  <c r="AF87" i="3"/>
  <c r="AE87" i="3"/>
  <c r="AD87" i="3"/>
  <c r="Z87" i="3"/>
  <c r="J87" i="3"/>
  <c r="AL87" i="3" s="1"/>
  <c r="BJ77" i="3"/>
  <c r="BI77" i="3"/>
  <c r="AC77" i="3" s="1"/>
  <c r="BF77" i="3"/>
  <c r="BD77" i="3"/>
  <c r="AP77" i="3"/>
  <c r="AO77" i="3"/>
  <c r="BH77" i="3" s="1"/>
  <c r="AK77" i="3"/>
  <c r="AJ77" i="3"/>
  <c r="AS76" i="3" s="1"/>
  <c r="AH77" i="3"/>
  <c r="AG77" i="3"/>
  <c r="AF77" i="3"/>
  <c r="AE77" i="3"/>
  <c r="AD77" i="3"/>
  <c r="AB77" i="3"/>
  <c r="Z77" i="3"/>
  <c r="J77" i="3"/>
  <c r="AL77" i="3" s="1"/>
  <c r="AU76" i="3" s="1"/>
  <c r="H77" i="3"/>
  <c r="J76" i="3"/>
  <c r="BJ74" i="3"/>
  <c r="BH74" i="3"/>
  <c r="BF74" i="3"/>
  <c r="BD74" i="3"/>
  <c r="AP74" i="3"/>
  <c r="I74" i="3" s="1"/>
  <c r="AO74" i="3"/>
  <c r="AK74" i="3"/>
  <c r="AJ74" i="3"/>
  <c r="AS54" i="3" s="1"/>
  <c r="AH74" i="3"/>
  <c r="AG74" i="3"/>
  <c r="AF74" i="3"/>
  <c r="AE74" i="3"/>
  <c r="AD74" i="3"/>
  <c r="AC74" i="3"/>
  <c r="AB74" i="3"/>
  <c r="Z74" i="3"/>
  <c r="J74" i="3"/>
  <c r="AL74" i="3" s="1"/>
  <c r="BJ72" i="3"/>
  <c r="BF72" i="3"/>
  <c r="BD72" i="3"/>
  <c r="AP72" i="3"/>
  <c r="AO72" i="3"/>
  <c r="BH72" i="3" s="1"/>
  <c r="AK72" i="3"/>
  <c r="AJ72" i="3"/>
  <c r="AH72" i="3"/>
  <c r="AG72" i="3"/>
  <c r="AF72" i="3"/>
  <c r="AE72" i="3"/>
  <c r="AD72" i="3"/>
  <c r="AB72" i="3"/>
  <c r="Z72" i="3"/>
  <c r="J72" i="3"/>
  <c r="AL72" i="3" s="1"/>
  <c r="H72" i="3"/>
  <c r="BJ55" i="3"/>
  <c r="BF55" i="3"/>
  <c r="BD55" i="3"/>
  <c r="AW55" i="3"/>
  <c r="AP55" i="3"/>
  <c r="BI55" i="3" s="1"/>
  <c r="AO55" i="3"/>
  <c r="BH55" i="3" s="1"/>
  <c r="AL55" i="3"/>
  <c r="AK55" i="3"/>
  <c r="AT54" i="3" s="1"/>
  <c r="AJ55" i="3"/>
  <c r="AH55" i="3"/>
  <c r="AG55" i="3"/>
  <c r="AF55" i="3"/>
  <c r="AE55" i="3"/>
  <c r="AD55" i="3"/>
  <c r="AC55" i="3"/>
  <c r="AB55" i="3"/>
  <c r="Z55" i="3"/>
  <c r="J55" i="3"/>
  <c r="I55" i="3"/>
  <c r="H55" i="3"/>
  <c r="BJ50" i="3"/>
  <c r="BI50" i="3"/>
  <c r="AC50" i="3" s="1"/>
  <c r="BF50" i="3"/>
  <c r="BD50" i="3"/>
  <c r="AP50" i="3"/>
  <c r="AO50" i="3"/>
  <c r="BH50" i="3" s="1"/>
  <c r="AK50" i="3"/>
  <c r="AJ50" i="3"/>
  <c r="AH50" i="3"/>
  <c r="AG50" i="3"/>
  <c r="AF50" i="3"/>
  <c r="AE50" i="3"/>
  <c r="AD50" i="3"/>
  <c r="AB50" i="3"/>
  <c r="Z50" i="3"/>
  <c r="J50" i="3"/>
  <c r="AL50" i="3" s="1"/>
  <c r="H50" i="3"/>
  <c r="BJ46" i="3"/>
  <c r="BF46" i="3"/>
  <c r="BD46" i="3"/>
  <c r="AW46" i="3"/>
  <c r="AP46" i="3"/>
  <c r="BI46" i="3" s="1"/>
  <c r="AC46" i="3" s="1"/>
  <c r="AO46" i="3"/>
  <c r="BH46" i="3" s="1"/>
  <c r="AB46" i="3" s="1"/>
  <c r="AL46" i="3"/>
  <c r="AK46" i="3"/>
  <c r="AJ46" i="3"/>
  <c r="AH46" i="3"/>
  <c r="AG46" i="3"/>
  <c r="AF46" i="3"/>
  <c r="AE46" i="3"/>
  <c r="AD46" i="3"/>
  <c r="Z46" i="3"/>
  <c r="J46" i="3"/>
  <c r="I46" i="3"/>
  <c r="H46" i="3"/>
  <c r="BJ42" i="3"/>
  <c r="BH42" i="3"/>
  <c r="AB42" i="3" s="1"/>
  <c r="BF42" i="3"/>
  <c r="BD42" i="3"/>
  <c r="AX42" i="3"/>
  <c r="AW42" i="3"/>
  <c r="AP42" i="3"/>
  <c r="BI42" i="3" s="1"/>
  <c r="AO42" i="3"/>
  <c r="H42" i="3" s="1"/>
  <c r="AL42" i="3"/>
  <c r="AK42" i="3"/>
  <c r="AJ42" i="3"/>
  <c r="AH42" i="3"/>
  <c r="AG42" i="3"/>
  <c r="AF42" i="3"/>
  <c r="AE42" i="3"/>
  <c r="AD42" i="3"/>
  <c r="AC42" i="3"/>
  <c r="Z42" i="3"/>
  <c r="J42" i="3"/>
  <c r="I42" i="3"/>
  <c r="BJ38" i="3"/>
  <c r="BI38" i="3"/>
  <c r="AC38" i="3" s="1"/>
  <c r="BF38" i="3"/>
  <c r="BD38" i="3"/>
  <c r="AX38" i="3"/>
  <c r="AP38" i="3"/>
  <c r="I38" i="3" s="1"/>
  <c r="AO38" i="3"/>
  <c r="AK38" i="3"/>
  <c r="AJ38" i="3"/>
  <c r="AS13" i="3" s="1"/>
  <c r="AH38" i="3"/>
  <c r="AG38" i="3"/>
  <c r="AF38" i="3"/>
  <c r="AE38" i="3"/>
  <c r="AD38" i="3"/>
  <c r="Z38" i="3"/>
  <c r="J38" i="3"/>
  <c r="AL38" i="3" s="1"/>
  <c r="BJ36" i="3"/>
  <c r="BF36" i="3"/>
  <c r="BD36" i="3"/>
  <c r="AP36" i="3"/>
  <c r="AO36" i="3"/>
  <c r="BH36" i="3" s="1"/>
  <c r="AK36" i="3"/>
  <c r="AJ36" i="3"/>
  <c r="AH36" i="3"/>
  <c r="AG36" i="3"/>
  <c r="AF36" i="3"/>
  <c r="AE36" i="3"/>
  <c r="AD36" i="3"/>
  <c r="AB36" i="3"/>
  <c r="Z36" i="3"/>
  <c r="J36" i="3"/>
  <c r="AL36" i="3" s="1"/>
  <c r="H36" i="3"/>
  <c r="BJ25" i="3"/>
  <c r="BF25" i="3"/>
  <c r="BD25" i="3"/>
  <c r="AW25" i="3"/>
  <c r="AP25" i="3"/>
  <c r="BI25" i="3" s="1"/>
  <c r="AO25" i="3"/>
  <c r="BH25" i="3" s="1"/>
  <c r="AL25" i="3"/>
  <c r="AK25" i="3"/>
  <c r="C28" i="1" s="1"/>
  <c r="F28" i="1" s="1"/>
  <c r="AJ25" i="3"/>
  <c r="AH25" i="3"/>
  <c r="AG25" i="3"/>
  <c r="AF25" i="3"/>
  <c r="AE25" i="3"/>
  <c r="AD25" i="3"/>
  <c r="AC25" i="3"/>
  <c r="AB25" i="3"/>
  <c r="Z25" i="3"/>
  <c r="J25" i="3"/>
  <c r="I25" i="3"/>
  <c r="H25" i="3"/>
  <c r="BJ14" i="3"/>
  <c r="BF14" i="3"/>
  <c r="BD14" i="3"/>
  <c r="AX14" i="3"/>
  <c r="AP14" i="3"/>
  <c r="BI14" i="3" s="1"/>
  <c r="AC14" i="3" s="1"/>
  <c r="AO14" i="3"/>
  <c r="H14" i="3" s="1"/>
  <c r="AK14" i="3"/>
  <c r="AJ14" i="3"/>
  <c r="AH14" i="3"/>
  <c r="C20" i="1" s="1"/>
  <c r="AG14" i="3"/>
  <c r="AF14" i="3"/>
  <c r="AE14" i="3"/>
  <c r="AD14" i="3"/>
  <c r="Z14" i="3"/>
  <c r="J14" i="3"/>
  <c r="I14" i="3"/>
  <c r="AU1" i="3"/>
  <c r="AT1" i="3"/>
  <c r="AS1" i="3"/>
  <c r="I35" i="2"/>
  <c r="I36" i="2" s="1"/>
  <c r="I24" i="1" s="1"/>
  <c r="I26" i="2"/>
  <c r="I25" i="2"/>
  <c r="I24" i="2"/>
  <c r="I17" i="1" s="1"/>
  <c r="I23" i="2"/>
  <c r="I22" i="2"/>
  <c r="I17" i="2"/>
  <c r="I16" i="2"/>
  <c r="I15" i="2"/>
  <c r="I10" i="2"/>
  <c r="F10" i="2"/>
  <c r="C10" i="2"/>
  <c r="F8" i="2"/>
  <c r="C8" i="2"/>
  <c r="F6" i="2"/>
  <c r="C6" i="2"/>
  <c r="F4" i="2"/>
  <c r="C4" i="2"/>
  <c r="F2" i="2"/>
  <c r="C2" i="2"/>
  <c r="C21" i="1"/>
  <c r="I19" i="1"/>
  <c r="I18" i="1"/>
  <c r="I16" i="1"/>
  <c r="F16" i="1"/>
  <c r="I15" i="1"/>
  <c r="F15" i="1"/>
  <c r="F10" i="1"/>
  <c r="C10" i="1"/>
  <c r="F8" i="1"/>
  <c r="F6" i="1"/>
  <c r="C6" i="1"/>
  <c r="F4" i="1"/>
  <c r="C4" i="1"/>
  <c r="F2" i="1"/>
  <c r="C2" i="1"/>
  <c r="AV263" i="3" l="1"/>
  <c r="AU340" i="3"/>
  <c r="AU421" i="3"/>
  <c r="AV120" i="3"/>
  <c r="BC120" i="3"/>
  <c r="AV173" i="3"/>
  <c r="BC173" i="3"/>
  <c r="AL255" i="3"/>
  <c r="AU254" i="3" s="1"/>
  <c r="J254" i="3"/>
  <c r="I332" i="3"/>
  <c r="I331" i="3" s="1"/>
  <c r="BI332" i="3"/>
  <c r="AC332" i="3" s="1"/>
  <c r="AX335" i="3"/>
  <c r="I335" i="3"/>
  <c r="I334" i="3" s="1"/>
  <c r="BI335" i="3"/>
  <c r="AC335" i="3" s="1"/>
  <c r="H340" i="3"/>
  <c r="AV390" i="3"/>
  <c r="BC390" i="3"/>
  <c r="AL402" i="3"/>
  <c r="AU401" i="3" s="1"/>
  <c r="J401" i="3"/>
  <c r="I409" i="3"/>
  <c r="AX553" i="3"/>
  <c r="I553" i="3"/>
  <c r="BI553" i="3"/>
  <c r="AE553" i="3" s="1"/>
  <c r="AV569" i="3"/>
  <c r="BC569" i="3"/>
  <c r="AW584" i="3"/>
  <c r="H584" i="3"/>
  <c r="BH584" i="3"/>
  <c r="AD584" i="3" s="1"/>
  <c r="AW622" i="3"/>
  <c r="H622" i="3"/>
  <c r="H621" i="3" s="1"/>
  <c r="BH622" i="3"/>
  <c r="AD622" i="3" s="1"/>
  <c r="H666" i="3"/>
  <c r="BH666" i="3"/>
  <c r="AD666" i="3" s="1"/>
  <c r="AW666" i="3"/>
  <c r="J924" i="3"/>
  <c r="AL928" i="3"/>
  <c r="AU924" i="3" s="1"/>
  <c r="AV1021" i="3"/>
  <c r="BC1021" i="3"/>
  <c r="J13" i="3"/>
  <c r="AX36" i="3"/>
  <c r="I36" i="3"/>
  <c r="AW38" i="3"/>
  <c r="H38" i="3"/>
  <c r="H13" i="3" s="1"/>
  <c r="I54" i="3"/>
  <c r="AU54" i="3"/>
  <c r="AX72" i="3"/>
  <c r="I72" i="3"/>
  <c r="AX74" i="3"/>
  <c r="AT76" i="3"/>
  <c r="BC106" i="3"/>
  <c r="AX115" i="3"/>
  <c r="I115" i="3"/>
  <c r="I108" i="3" s="1"/>
  <c r="AW118" i="3"/>
  <c r="H118" i="3"/>
  <c r="H108" i="3" s="1"/>
  <c r="AX127" i="3"/>
  <c r="AX134" i="3"/>
  <c r="I134" i="3"/>
  <c r="AW136" i="3"/>
  <c r="H136" i="3"/>
  <c r="AX149" i="3"/>
  <c r="I149" i="3"/>
  <c r="AX162" i="3"/>
  <c r="AW171" i="3"/>
  <c r="H171" i="3"/>
  <c r="AX181" i="3"/>
  <c r="AX216" i="3"/>
  <c r="I216" i="3"/>
  <c r="AW219" i="3"/>
  <c r="H219" i="3"/>
  <c r="AX229" i="3"/>
  <c r="AW242" i="3"/>
  <c r="H242" i="3"/>
  <c r="AX250" i="3"/>
  <c r="AL370" i="3"/>
  <c r="J340" i="3"/>
  <c r="AV398" i="3"/>
  <c r="BC398" i="3"/>
  <c r="AV410" i="3"/>
  <c r="BC410" i="3"/>
  <c r="BC414" i="3"/>
  <c r="AL424" i="3"/>
  <c r="J421" i="3"/>
  <c r="AT468" i="3"/>
  <c r="AV498" i="3"/>
  <c r="BC498" i="3"/>
  <c r="AX511" i="3"/>
  <c r="I511" i="3"/>
  <c r="BI511" i="3"/>
  <c r="AE511" i="3" s="1"/>
  <c r="AL529" i="3"/>
  <c r="J507" i="3"/>
  <c r="AV533" i="3"/>
  <c r="BC533" i="3"/>
  <c r="BI557" i="3"/>
  <c r="AE557" i="3" s="1"/>
  <c r="AX557" i="3"/>
  <c r="BC557" i="3" s="1"/>
  <c r="I557" i="3"/>
  <c r="BH575" i="3"/>
  <c r="AD575" i="3" s="1"/>
  <c r="AW575" i="3"/>
  <c r="H575" i="3"/>
  <c r="BC578" i="3"/>
  <c r="AV599" i="3"/>
  <c r="BC599" i="3"/>
  <c r="AT598" i="3"/>
  <c r="AX616" i="3"/>
  <c r="I616" i="3"/>
  <c r="BI616" i="3"/>
  <c r="AE616" i="3" s="1"/>
  <c r="I663" i="3"/>
  <c r="BI663" i="3"/>
  <c r="AE663" i="3" s="1"/>
  <c r="AX663" i="3"/>
  <c r="H748" i="3"/>
  <c r="AW748" i="3"/>
  <c r="BH748" i="3"/>
  <c r="AD748" i="3" s="1"/>
  <c r="AW14" i="3"/>
  <c r="BH14" i="3"/>
  <c r="AB14" i="3" s="1"/>
  <c r="BI36" i="3"/>
  <c r="AC36" i="3" s="1"/>
  <c r="J54" i="3"/>
  <c r="BI72" i="3"/>
  <c r="AC72" i="3" s="1"/>
  <c r="C15" i="1" s="1"/>
  <c r="BI74" i="3"/>
  <c r="BI87" i="3"/>
  <c r="AC87" i="3" s="1"/>
  <c r="AW90" i="3"/>
  <c r="BH90" i="3"/>
  <c r="AB90" i="3" s="1"/>
  <c r="AW104" i="3"/>
  <c r="BH104" i="3"/>
  <c r="AB104" i="3" s="1"/>
  <c r="AW109" i="3"/>
  <c r="BH109" i="3"/>
  <c r="AB109" i="3" s="1"/>
  <c r="BI115" i="3"/>
  <c r="AC115" i="3" s="1"/>
  <c r="BI127" i="3"/>
  <c r="AC127" i="3" s="1"/>
  <c r="AW129" i="3"/>
  <c r="BH129" i="3"/>
  <c r="AB129" i="3" s="1"/>
  <c r="BI134" i="3"/>
  <c r="AC134" i="3" s="1"/>
  <c r="J145" i="3"/>
  <c r="BI149" i="3"/>
  <c r="AC149" i="3" s="1"/>
  <c r="BI162" i="3"/>
  <c r="AC162" i="3" s="1"/>
  <c r="AW164" i="3"/>
  <c r="BH164" i="3"/>
  <c r="AB164" i="3" s="1"/>
  <c r="BI181" i="3"/>
  <c r="AC181" i="3" s="1"/>
  <c r="AW183" i="3"/>
  <c r="BH183" i="3"/>
  <c r="AB183" i="3" s="1"/>
  <c r="BI207" i="3"/>
  <c r="AC207" i="3" s="1"/>
  <c r="AW209" i="3"/>
  <c r="BH209" i="3"/>
  <c r="AB209" i="3" s="1"/>
  <c r="BI216" i="3"/>
  <c r="AC216" i="3" s="1"/>
  <c r="BI229" i="3"/>
  <c r="AC229" i="3" s="1"/>
  <c r="AW231" i="3"/>
  <c r="BH231" i="3"/>
  <c r="AB231" i="3" s="1"/>
  <c r="AS239" i="3"/>
  <c r="BI250" i="3"/>
  <c r="AC250" i="3" s="1"/>
  <c r="AW252" i="3"/>
  <c r="BH252" i="3"/>
  <c r="AB252" i="3" s="1"/>
  <c r="BI274" i="3"/>
  <c r="AC274" i="3" s="1"/>
  <c r="AW276" i="3"/>
  <c r="BH276" i="3"/>
  <c r="AB276" i="3" s="1"/>
  <c r="AW285" i="3"/>
  <c r="BH285" i="3"/>
  <c r="AB285" i="3" s="1"/>
  <c r="BI305" i="3"/>
  <c r="AC305" i="3" s="1"/>
  <c r="AW308" i="3"/>
  <c r="BH308" i="3"/>
  <c r="AB308" i="3" s="1"/>
  <c r="AL332" i="3"/>
  <c r="AU331" i="3" s="1"/>
  <c r="J331" i="3"/>
  <c r="AL337" i="3"/>
  <c r="AU334" i="3" s="1"/>
  <c r="J334" i="3"/>
  <c r="AW370" i="3"/>
  <c r="H370" i="3"/>
  <c r="AL382" i="3"/>
  <c r="AU381" i="3" s="1"/>
  <c r="J381" i="3"/>
  <c r="AW402" i="3"/>
  <c r="H402" i="3"/>
  <c r="H401" i="3" s="1"/>
  <c r="AV405" i="3"/>
  <c r="BC405" i="3"/>
  <c r="AU409" i="3"/>
  <c r="AW420" i="3"/>
  <c r="H420" i="3"/>
  <c r="J468" i="3"/>
  <c r="AV469" i="3"/>
  <c r="BC469" i="3"/>
  <c r="AX474" i="3"/>
  <c r="I474" i="3"/>
  <c r="I468" i="3" s="1"/>
  <c r="BI474" i="3"/>
  <c r="AE474" i="3" s="1"/>
  <c r="AW476" i="3"/>
  <c r="H476" i="3"/>
  <c r="H468" i="3" s="1"/>
  <c r="AV479" i="3"/>
  <c r="BC479" i="3"/>
  <c r="AX484" i="3"/>
  <c r="I484" i="3"/>
  <c r="BI484" i="3"/>
  <c r="AE484" i="3" s="1"/>
  <c r="AW487" i="3"/>
  <c r="H487" i="3"/>
  <c r="BH504" i="3"/>
  <c r="AD504" i="3" s="1"/>
  <c r="AW504" i="3"/>
  <c r="H504" i="3"/>
  <c r="AX506" i="3"/>
  <c r="BI506" i="3"/>
  <c r="I506" i="3"/>
  <c r="BC508" i="3"/>
  <c r="AV508" i="3"/>
  <c r="AT507" i="3"/>
  <c r="BI517" i="3"/>
  <c r="AE517" i="3" s="1"/>
  <c r="AX517" i="3"/>
  <c r="I517" i="3"/>
  <c r="BH539" i="3"/>
  <c r="AD539" i="3" s="1"/>
  <c r="AW539" i="3"/>
  <c r="H539" i="3"/>
  <c r="AU552" i="3"/>
  <c r="H565" i="3"/>
  <c r="BH565" i="3"/>
  <c r="AD565" i="3" s="1"/>
  <c r="AW565" i="3"/>
  <c r="I604" i="3"/>
  <c r="AW610" i="3"/>
  <c r="H610" i="3"/>
  <c r="BH610" i="3"/>
  <c r="AD610" i="3" s="1"/>
  <c r="BC614" i="3"/>
  <c r="AW618" i="3"/>
  <c r="H618" i="3"/>
  <c r="BH618" i="3"/>
  <c r="AF618" i="3" s="1"/>
  <c r="AW627" i="3"/>
  <c r="H627" i="3"/>
  <c r="H626" i="3" s="1"/>
  <c r="BH627" i="3"/>
  <c r="AD627" i="3" s="1"/>
  <c r="AX630" i="3"/>
  <c r="I630" i="3"/>
  <c r="BI630" i="3"/>
  <c r="AE630" i="3" s="1"/>
  <c r="AT651" i="3"/>
  <c r="H723" i="3"/>
  <c r="H713" i="3" s="1"/>
  <c r="BH723" i="3"/>
  <c r="AW723" i="3"/>
  <c r="AV729" i="3"/>
  <c r="BC729" i="3"/>
  <c r="BI815" i="3"/>
  <c r="AE815" i="3" s="1"/>
  <c r="I815" i="3"/>
  <c r="AX815" i="3"/>
  <c r="AV815" i="3" s="1"/>
  <c r="I905" i="3"/>
  <c r="AX905" i="3"/>
  <c r="BI905" i="3"/>
  <c r="AE905" i="3" s="1"/>
  <c r="H963" i="3"/>
  <c r="I13" i="3"/>
  <c r="AV42" i="3"/>
  <c r="BC42" i="3"/>
  <c r="H54" i="3"/>
  <c r="AV139" i="3"/>
  <c r="BC139" i="3"/>
  <c r="AV153" i="3"/>
  <c r="BC153" i="3"/>
  <c r="AL186" i="3"/>
  <c r="AU185" i="3" s="1"/>
  <c r="J185" i="3"/>
  <c r="AV189" i="3"/>
  <c r="BC189" i="3"/>
  <c r="AV222" i="3"/>
  <c r="BC222" i="3"/>
  <c r="AV244" i="3"/>
  <c r="BC244" i="3"/>
  <c r="AV259" i="3"/>
  <c r="BC259" i="3"/>
  <c r="AV295" i="3"/>
  <c r="BC295" i="3"/>
  <c r="AV328" i="3"/>
  <c r="BC328" i="3"/>
  <c r="BC467" i="3"/>
  <c r="AW514" i="3"/>
  <c r="BH514" i="3"/>
  <c r="AD514" i="3" s="1"/>
  <c r="AV545" i="3"/>
  <c r="BC545" i="3"/>
  <c r="BC547" i="3"/>
  <c r="AV547" i="3"/>
  <c r="BC589" i="3"/>
  <c r="AV679" i="3"/>
  <c r="BC679" i="3"/>
  <c r="I685" i="3"/>
  <c r="BI685" i="3"/>
  <c r="AX685" i="3"/>
  <c r="I18" i="2"/>
  <c r="F14" i="1"/>
  <c r="F22" i="1" s="1"/>
  <c r="BC25" i="3"/>
  <c r="BC55" i="3"/>
  <c r="AX87" i="3"/>
  <c r="J108" i="3"/>
  <c r="BC113" i="3"/>
  <c r="AU145" i="3"/>
  <c r="AW151" i="3"/>
  <c r="H151" i="3"/>
  <c r="H145" i="3" s="1"/>
  <c r="AX168" i="3"/>
  <c r="I168" i="3"/>
  <c r="AW186" i="3"/>
  <c r="H186" i="3"/>
  <c r="AX207" i="3"/>
  <c r="AX235" i="3"/>
  <c r="I235" i="3"/>
  <c r="AW237" i="3"/>
  <c r="H237" i="3"/>
  <c r="AX240" i="3"/>
  <c r="I240" i="3"/>
  <c r="I239" i="3" s="1"/>
  <c r="AW255" i="3"/>
  <c r="H255" i="3"/>
  <c r="AX274" i="3"/>
  <c r="J284" i="3"/>
  <c r="AX290" i="3"/>
  <c r="I290" i="3"/>
  <c r="I284" i="3" s="1"/>
  <c r="AW293" i="3"/>
  <c r="H293" i="3"/>
  <c r="H284" i="3" s="1"/>
  <c r="AX305" i="3"/>
  <c r="AX318" i="3"/>
  <c r="I318" i="3"/>
  <c r="AW323" i="3"/>
  <c r="H323" i="3"/>
  <c r="AX332" i="3"/>
  <c r="AX418" i="3"/>
  <c r="I418" i="3"/>
  <c r="AT13" i="3"/>
  <c r="AL14" i="3"/>
  <c r="AU13" i="3" s="1"/>
  <c r="C27" i="1"/>
  <c r="BH38" i="3"/>
  <c r="AB38" i="3" s="1"/>
  <c r="AX50" i="3"/>
  <c r="I50" i="3"/>
  <c r="AW74" i="3"/>
  <c r="H74" i="3"/>
  <c r="AX77" i="3"/>
  <c r="I77" i="3"/>
  <c r="I76" i="3" s="1"/>
  <c r="AW87" i="3"/>
  <c r="H87" i="3"/>
  <c r="H76" i="3" s="1"/>
  <c r="AL104" i="3"/>
  <c r="AU103" i="3" s="1"/>
  <c r="AL109" i="3"/>
  <c r="AU108" i="3" s="1"/>
  <c r="BH118" i="3"/>
  <c r="AB118" i="3" s="1"/>
  <c r="AX124" i="3"/>
  <c r="I124" i="3"/>
  <c r="AW127" i="3"/>
  <c r="H127" i="3"/>
  <c r="BH136" i="3"/>
  <c r="AB136" i="3" s="1"/>
  <c r="AX143" i="3"/>
  <c r="I143" i="3"/>
  <c r="BH151" i="3"/>
  <c r="AB151" i="3" s="1"/>
  <c r="AX159" i="3"/>
  <c r="I159" i="3"/>
  <c r="AW162" i="3"/>
  <c r="H162" i="3"/>
  <c r="BH171" i="3"/>
  <c r="AB171" i="3" s="1"/>
  <c r="AX179" i="3"/>
  <c r="I179" i="3"/>
  <c r="I145" i="3" s="1"/>
  <c r="AW181" i="3"/>
  <c r="H181" i="3"/>
  <c r="AS185" i="3"/>
  <c r="BH186" i="3"/>
  <c r="AB186" i="3" s="1"/>
  <c r="AX205" i="3"/>
  <c r="I205" i="3"/>
  <c r="AW207" i="3"/>
  <c r="H207" i="3"/>
  <c r="BH219" i="3"/>
  <c r="AB219" i="3" s="1"/>
  <c r="BC224" i="3"/>
  <c r="AX227" i="3"/>
  <c r="I227" i="3"/>
  <c r="AW229" i="3"/>
  <c r="H229" i="3"/>
  <c r="BH237" i="3"/>
  <c r="AB237" i="3" s="1"/>
  <c r="J239" i="3"/>
  <c r="AT239" i="3"/>
  <c r="BH242" i="3"/>
  <c r="AB242" i="3" s="1"/>
  <c r="BC246" i="3"/>
  <c r="AX248" i="3"/>
  <c r="I248" i="3"/>
  <c r="AW250" i="3"/>
  <c r="H250" i="3"/>
  <c r="H239" i="3" s="1"/>
  <c r="AS254" i="3"/>
  <c r="BH255" i="3"/>
  <c r="AB255" i="3" s="1"/>
  <c r="BC263" i="3"/>
  <c r="AX271" i="3"/>
  <c r="I271" i="3"/>
  <c r="I254" i="3" s="1"/>
  <c r="AW274" i="3"/>
  <c r="H274" i="3"/>
  <c r="AL285" i="3"/>
  <c r="AU284" i="3" s="1"/>
  <c r="BH293" i="3"/>
  <c r="AB293" i="3" s="1"/>
  <c r="AX302" i="3"/>
  <c r="I302" i="3"/>
  <c r="AW305" i="3"/>
  <c r="H305" i="3"/>
  <c r="BH323" i="3"/>
  <c r="AB323" i="3" s="1"/>
  <c r="AW332" i="3"/>
  <c r="H332" i="3"/>
  <c r="H331" i="3" s="1"/>
  <c r="AW337" i="3"/>
  <c r="H337" i="3"/>
  <c r="H334" i="3" s="1"/>
  <c r="AX341" i="3"/>
  <c r="I341" i="3"/>
  <c r="I340" i="3" s="1"/>
  <c r="BI341" i="3"/>
  <c r="AC341" i="3" s="1"/>
  <c r="AV379" i="3"/>
  <c r="BC379" i="3"/>
  <c r="AW382" i="3"/>
  <c r="H382" i="3"/>
  <c r="H381" i="3" s="1"/>
  <c r="I401" i="3"/>
  <c r="BC408" i="3"/>
  <c r="H409" i="3"/>
  <c r="AX422" i="3"/>
  <c r="I422" i="3"/>
  <c r="BI422" i="3"/>
  <c r="AE422" i="3" s="1"/>
  <c r="AW424" i="3"/>
  <c r="H424" i="3"/>
  <c r="H421" i="3" s="1"/>
  <c r="AV427" i="3"/>
  <c r="BC427" i="3"/>
  <c r="BC430" i="3"/>
  <c r="AX433" i="3"/>
  <c r="I433" i="3"/>
  <c r="BI433" i="3"/>
  <c r="AE433" i="3" s="1"/>
  <c r="AW443" i="3"/>
  <c r="H443" i="3"/>
  <c r="AV446" i="3"/>
  <c r="BC446" i="3"/>
  <c r="AX458" i="3"/>
  <c r="I458" i="3"/>
  <c r="BI458" i="3"/>
  <c r="AE458" i="3" s="1"/>
  <c r="AW461" i="3"/>
  <c r="H461" i="3"/>
  <c r="AV464" i="3"/>
  <c r="BC464" i="3"/>
  <c r="AU468" i="3"/>
  <c r="H494" i="3"/>
  <c r="BH494" i="3"/>
  <c r="AD494" i="3" s="1"/>
  <c r="AW494" i="3"/>
  <c r="AU507" i="3"/>
  <c r="H529" i="3"/>
  <c r="H507" i="3" s="1"/>
  <c r="BH529" i="3"/>
  <c r="AD529" i="3" s="1"/>
  <c r="AW529" i="3"/>
  <c r="I543" i="3"/>
  <c r="BI543" i="3"/>
  <c r="AE543" i="3" s="1"/>
  <c r="AX543" i="3"/>
  <c r="AV543" i="3" s="1"/>
  <c r="AX549" i="3"/>
  <c r="I549" i="3"/>
  <c r="BI549" i="3"/>
  <c r="AE549" i="3" s="1"/>
  <c r="AW551" i="3"/>
  <c r="BH551" i="3"/>
  <c r="AW555" i="3"/>
  <c r="BH555" i="3"/>
  <c r="AD555" i="3" s="1"/>
  <c r="AX591" i="3"/>
  <c r="I591" i="3"/>
  <c r="BI591" i="3"/>
  <c r="AE591" i="3" s="1"/>
  <c r="H629" i="3"/>
  <c r="J651" i="3"/>
  <c r="AV695" i="3"/>
  <c r="BC695" i="3"/>
  <c r="H797" i="3"/>
  <c r="AW797" i="3"/>
  <c r="BH797" i="3"/>
  <c r="AD797" i="3" s="1"/>
  <c r="I882" i="3"/>
  <c r="BI882" i="3"/>
  <c r="AE882" i="3" s="1"/>
  <c r="AX882" i="3"/>
  <c r="AL885" i="3"/>
  <c r="AU881" i="3" s="1"/>
  <c r="J881" i="3"/>
  <c r="BI370" i="3"/>
  <c r="AC370" i="3" s="1"/>
  <c r="BH379" i="3"/>
  <c r="AB379" i="3" s="1"/>
  <c r="BI402" i="3"/>
  <c r="AE402" i="3" s="1"/>
  <c r="BH405" i="3"/>
  <c r="AD405" i="3" s="1"/>
  <c r="C16" i="1" s="1"/>
  <c r="BH410" i="3"/>
  <c r="AD410" i="3" s="1"/>
  <c r="BI420" i="3"/>
  <c r="BH427" i="3"/>
  <c r="AD427" i="3" s="1"/>
  <c r="BI443" i="3"/>
  <c r="AE443" i="3" s="1"/>
  <c r="BH446" i="3"/>
  <c r="AD446" i="3" s="1"/>
  <c r="BI461" i="3"/>
  <c r="AE461" i="3" s="1"/>
  <c r="BH464" i="3"/>
  <c r="AD464" i="3" s="1"/>
  <c r="BI476" i="3"/>
  <c r="AE476" i="3" s="1"/>
  <c r="BH479" i="3"/>
  <c r="AD479" i="3" s="1"/>
  <c r="AV517" i="3"/>
  <c r="AT552" i="3"/>
  <c r="AV557" i="3"/>
  <c r="BC563" i="3"/>
  <c r="AT604" i="3"/>
  <c r="AS629" i="3"/>
  <c r="AV634" i="3"/>
  <c r="BC634" i="3"/>
  <c r="AX649" i="3"/>
  <c r="I649" i="3"/>
  <c r="I648" i="3" s="1"/>
  <c r="AU651" i="3"/>
  <c r="AX654" i="3"/>
  <c r="I654" i="3"/>
  <c r="I651" i="3" s="1"/>
  <c r="BC681" i="3"/>
  <c r="AX683" i="3"/>
  <c r="I683" i="3"/>
  <c r="AT686" i="3"/>
  <c r="AX704" i="3"/>
  <c r="BC704" i="3" s="1"/>
  <c r="BI704" i="3"/>
  <c r="AE704" i="3" s="1"/>
  <c r="H712" i="3"/>
  <c r="BH712" i="3"/>
  <c r="AW712" i="3"/>
  <c r="AV720" i="3"/>
  <c r="BC720" i="3"/>
  <c r="H725" i="3"/>
  <c r="BH725" i="3"/>
  <c r="AD725" i="3" s="1"/>
  <c r="AW725" i="3"/>
  <c r="BC731" i="3"/>
  <c r="H733" i="3"/>
  <c r="AW733" i="3"/>
  <c r="BH735" i="3"/>
  <c r="AD735" i="3" s="1"/>
  <c r="AW735" i="3"/>
  <c r="H735" i="3"/>
  <c r="AV741" i="3"/>
  <c r="BC741" i="3"/>
  <c r="BC743" i="3"/>
  <c r="AV743" i="3"/>
  <c r="AX777" i="3"/>
  <c r="AV777" i="3" s="1"/>
  <c r="I777" i="3"/>
  <c r="BI777" i="3"/>
  <c r="AE777" i="3" s="1"/>
  <c r="BI851" i="3"/>
  <c r="AE851" i="3" s="1"/>
  <c r="I851" i="3"/>
  <c r="AX851" i="3"/>
  <c r="BC902" i="3"/>
  <c r="AV902" i="3"/>
  <c r="AS936" i="3"/>
  <c r="AL942" i="3"/>
  <c r="AU936" i="3" s="1"/>
  <c r="J936" i="3"/>
  <c r="AX999" i="3"/>
  <c r="AV999" i="3" s="1"/>
  <c r="I999" i="3"/>
  <c r="I998" i="3" s="1"/>
  <c r="BI999" i="3"/>
  <c r="H1002" i="3"/>
  <c r="BH1002" i="3"/>
  <c r="AF1002" i="3" s="1"/>
  <c r="AW1002" i="3"/>
  <c r="AV1010" i="3"/>
  <c r="BC1010" i="3"/>
  <c r="AV1057" i="3"/>
  <c r="BC1057" i="3"/>
  <c r="AX1069" i="3"/>
  <c r="AV1069" i="3" s="1"/>
  <c r="I1069" i="3"/>
  <c r="BI1069" i="3"/>
  <c r="AG1069" i="3" s="1"/>
  <c r="AV1103" i="3"/>
  <c r="BC1103" i="3"/>
  <c r="H1131" i="3"/>
  <c r="BH1131" i="3"/>
  <c r="AF1131" i="3" s="1"/>
  <c r="AW1131" i="3"/>
  <c r="I1138" i="3"/>
  <c r="BI1138" i="3"/>
  <c r="AG1138" i="3" s="1"/>
  <c r="AX1138" i="3"/>
  <c r="AL1143" i="3"/>
  <c r="AU1142" i="3" s="1"/>
  <c r="J1142" i="3"/>
  <c r="AX25" i="3"/>
  <c r="AV25" i="3" s="1"/>
  <c r="AW36" i="3"/>
  <c r="AX46" i="3"/>
  <c r="BC46" i="3" s="1"/>
  <c r="AW50" i="3"/>
  <c r="AX55" i="3"/>
  <c r="AV55" i="3" s="1"/>
  <c r="AW72" i="3"/>
  <c r="AW77" i="3"/>
  <c r="AX97" i="3"/>
  <c r="AV97" i="3" s="1"/>
  <c r="AX106" i="3"/>
  <c r="AV106" i="3" s="1"/>
  <c r="AX113" i="3"/>
  <c r="AV113" i="3" s="1"/>
  <c r="AW115" i="3"/>
  <c r="AX122" i="3"/>
  <c r="AV122" i="3" s="1"/>
  <c r="AW124" i="3"/>
  <c r="AX132" i="3"/>
  <c r="AV132" i="3" s="1"/>
  <c r="AW134" i="3"/>
  <c r="AX141" i="3"/>
  <c r="AV141" i="3" s="1"/>
  <c r="AW143" i="3"/>
  <c r="AX146" i="3"/>
  <c r="AV146" i="3" s="1"/>
  <c r="AW149" i="3"/>
  <c r="AX156" i="3"/>
  <c r="BC156" i="3" s="1"/>
  <c r="AW159" i="3"/>
  <c r="AX166" i="3"/>
  <c r="AV166" i="3" s="1"/>
  <c r="AW168" i="3"/>
  <c r="AX176" i="3"/>
  <c r="AV176" i="3" s="1"/>
  <c r="AW179" i="3"/>
  <c r="AX203" i="3"/>
  <c r="BC203" i="3" s="1"/>
  <c r="AW205" i="3"/>
  <c r="AX213" i="3"/>
  <c r="AV213" i="3" s="1"/>
  <c r="AW216" i="3"/>
  <c r="AX224" i="3"/>
  <c r="AV224" i="3" s="1"/>
  <c r="AW227" i="3"/>
  <c r="AX233" i="3"/>
  <c r="AV233" i="3" s="1"/>
  <c r="AW235" i="3"/>
  <c r="AW240" i="3"/>
  <c r="AX246" i="3"/>
  <c r="AV246" i="3" s="1"/>
  <c r="AW248" i="3"/>
  <c r="AX263" i="3"/>
  <c r="AW271" i="3"/>
  <c r="AX279" i="3"/>
  <c r="AV279" i="3" s="1"/>
  <c r="AX288" i="3"/>
  <c r="AV288" i="3" s="1"/>
  <c r="AW290" i="3"/>
  <c r="AX298" i="3"/>
  <c r="AV298" i="3" s="1"/>
  <c r="AW302" i="3"/>
  <c r="AX313" i="3"/>
  <c r="AV313" i="3" s="1"/>
  <c r="AW318" i="3"/>
  <c r="AW335" i="3"/>
  <c r="AW341" i="3"/>
  <c r="AX395" i="3"/>
  <c r="AV395" i="3" s="1"/>
  <c r="AX408" i="3"/>
  <c r="AV408" i="3" s="1"/>
  <c r="AX414" i="3"/>
  <c r="AV414" i="3" s="1"/>
  <c r="AW418" i="3"/>
  <c r="AW422" i="3"/>
  <c r="AX430" i="3"/>
  <c r="AV430" i="3" s="1"/>
  <c r="AW433" i="3"/>
  <c r="AX449" i="3"/>
  <c r="AV449" i="3" s="1"/>
  <c r="AW458" i="3"/>
  <c r="AX467" i="3"/>
  <c r="AV467" i="3" s="1"/>
  <c r="AX471" i="3"/>
  <c r="AV471" i="3" s="1"/>
  <c r="AW474" i="3"/>
  <c r="AX481" i="3"/>
  <c r="AV481" i="3" s="1"/>
  <c r="AW484" i="3"/>
  <c r="H496" i="3"/>
  <c r="AW496" i="3"/>
  <c r="BI500" i="3"/>
  <c r="AE500" i="3" s="1"/>
  <c r="BH517" i="3"/>
  <c r="AD517" i="3" s="1"/>
  <c r="H531" i="3"/>
  <c r="AW531" i="3"/>
  <c r="BI535" i="3"/>
  <c r="AE535" i="3" s="1"/>
  <c r="I541" i="3"/>
  <c r="BH543" i="3"/>
  <c r="AD543" i="3" s="1"/>
  <c r="BH557" i="3"/>
  <c r="AD557" i="3" s="1"/>
  <c r="H567" i="3"/>
  <c r="AW567" i="3"/>
  <c r="BI571" i="3"/>
  <c r="AE571" i="3" s="1"/>
  <c r="AX581" i="3"/>
  <c r="I581" i="3"/>
  <c r="AX584" i="3"/>
  <c r="AW593" i="3"/>
  <c r="H593" i="3"/>
  <c r="H552" i="3" s="1"/>
  <c r="AX603" i="3"/>
  <c r="I603" i="3"/>
  <c r="I598" i="3" s="1"/>
  <c r="AU604" i="3"/>
  <c r="AX608" i="3"/>
  <c r="I608" i="3"/>
  <c r="AX610" i="3"/>
  <c r="AX618" i="3"/>
  <c r="AX622" i="3"/>
  <c r="AX627" i="3"/>
  <c r="J629" i="3"/>
  <c r="AT629" i="3"/>
  <c r="AW632" i="3"/>
  <c r="H632" i="3"/>
  <c r="AT641" i="3"/>
  <c r="BI649" i="3"/>
  <c r="AE649" i="3" s="1"/>
  <c r="BI654" i="3"/>
  <c r="AE654" i="3" s="1"/>
  <c r="BI683" i="3"/>
  <c r="AE683" i="3" s="1"/>
  <c r="AX712" i="3"/>
  <c r="I712" i="3"/>
  <c r="BI712" i="3"/>
  <c r="BC714" i="3"/>
  <c r="J724" i="3"/>
  <c r="AL725" i="3"/>
  <c r="AU724" i="3" s="1"/>
  <c r="AX725" i="3"/>
  <c r="I725" i="3"/>
  <c r="BI725" i="3"/>
  <c r="AE725" i="3" s="1"/>
  <c r="BH750" i="3"/>
  <c r="AD750" i="3" s="1"/>
  <c r="AW750" i="3"/>
  <c r="H750" i="3"/>
  <c r="AV761" i="3"/>
  <c r="BC761" i="3"/>
  <c r="AV763" i="3"/>
  <c r="AL767" i="3"/>
  <c r="AU753" i="3" s="1"/>
  <c r="J753" i="3"/>
  <c r="H773" i="3"/>
  <c r="AW773" i="3"/>
  <c r="H775" i="3"/>
  <c r="BH775" i="3"/>
  <c r="AD775" i="3" s="1"/>
  <c r="AW775" i="3"/>
  <c r="I779" i="3"/>
  <c r="I772" i="3" s="1"/>
  <c r="AX779" i="3"/>
  <c r="BI779" i="3"/>
  <c r="AE779" i="3" s="1"/>
  <c r="I787" i="3"/>
  <c r="BI787" i="3"/>
  <c r="AE787" i="3" s="1"/>
  <c r="AX787" i="3"/>
  <c r="AV787" i="3" s="1"/>
  <c r="BC807" i="3"/>
  <c r="AV807" i="3"/>
  <c r="AV851" i="3"/>
  <c r="BC851" i="3"/>
  <c r="BC857" i="3"/>
  <c r="AV880" i="3"/>
  <c r="BC880" i="3"/>
  <c r="I988" i="3"/>
  <c r="AX1047" i="3"/>
  <c r="BC1047" i="3" s="1"/>
  <c r="I1047" i="3"/>
  <c r="BI1047" i="3"/>
  <c r="AG1047" i="3" s="1"/>
  <c r="BC1053" i="3"/>
  <c r="AS1052" i="3"/>
  <c r="BC1065" i="3"/>
  <c r="H1074" i="3"/>
  <c r="AW1074" i="3"/>
  <c r="BH1074" i="3"/>
  <c r="AF1074" i="3" s="1"/>
  <c r="BI337" i="3"/>
  <c r="AC337" i="3" s="1"/>
  <c r="BI382" i="3"/>
  <c r="AC382" i="3" s="1"/>
  <c r="BH390" i="3"/>
  <c r="AB390" i="3" s="1"/>
  <c r="BH398" i="3"/>
  <c r="AB398" i="3" s="1"/>
  <c r="BI424" i="3"/>
  <c r="AE424" i="3" s="1"/>
  <c r="C17" i="1" s="1"/>
  <c r="BH469" i="3"/>
  <c r="AD469" i="3" s="1"/>
  <c r="BI487" i="3"/>
  <c r="AE487" i="3" s="1"/>
  <c r="BC492" i="3"/>
  <c r="BC526" i="3"/>
  <c r="AV595" i="3"/>
  <c r="BC595" i="3"/>
  <c r="AL622" i="3"/>
  <c r="AU621" i="3" s="1"/>
  <c r="J621" i="3"/>
  <c r="AL627" i="3"/>
  <c r="AU626" i="3" s="1"/>
  <c r="J626" i="3"/>
  <c r="AW646" i="3"/>
  <c r="H646" i="3"/>
  <c r="H641" i="3" s="1"/>
  <c r="BC652" i="3"/>
  <c r="AW677" i="3"/>
  <c r="H677" i="3"/>
  <c r="AW692" i="3"/>
  <c r="H692" i="3"/>
  <c r="H686" i="3" s="1"/>
  <c r="BC754" i="3"/>
  <c r="AV754" i="3"/>
  <c r="BC756" i="3"/>
  <c r="I767" i="3"/>
  <c r="BI767" i="3"/>
  <c r="AE767" i="3" s="1"/>
  <c r="AS772" i="3"/>
  <c r="AW779" i="3"/>
  <c r="BH779" i="3"/>
  <c r="AD779" i="3" s="1"/>
  <c r="BI922" i="3"/>
  <c r="AE922" i="3" s="1"/>
  <c r="AX922" i="3"/>
  <c r="AV922" i="3" s="1"/>
  <c r="I922" i="3"/>
  <c r="BI490" i="3"/>
  <c r="AE490" i="3" s="1"/>
  <c r="I494" i="3"/>
  <c r="AW502" i="3"/>
  <c r="AX514" i="3"/>
  <c r="BC517" i="3"/>
  <c r="BI523" i="3"/>
  <c r="AE523" i="3" s="1"/>
  <c r="I529" i="3"/>
  <c r="I507" i="3" s="1"/>
  <c r="AW537" i="3"/>
  <c r="AX551" i="3"/>
  <c r="J552" i="3"/>
  <c r="AX555" i="3"/>
  <c r="BI561" i="3"/>
  <c r="AE561" i="3" s="1"/>
  <c r="I565" i="3"/>
  <c r="AW573" i="3"/>
  <c r="BI578" i="3"/>
  <c r="AE578" i="3" s="1"/>
  <c r="AX578" i="3"/>
  <c r="AV578" i="3" s="1"/>
  <c r="BI584" i="3"/>
  <c r="AE584" i="3" s="1"/>
  <c r="AW587" i="3"/>
  <c r="BH587" i="3"/>
  <c r="AD587" i="3" s="1"/>
  <c r="H604" i="3"/>
  <c r="BI610" i="3"/>
  <c r="AE610" i="3" s="1"/>
  <c r="AW612" i="3"/>
  <c r="BH612" i="3"/>
  <c r="AD612" i="3" s="1"/>
  <c r="BI618" i="3"/>
  <c r="AG618" i="3" s="1"/>
  <c r="AW620" i="3"/>
  <c r="BH620" i="3"/>
  <c r="BI622" i="3"/>
  <c r="AE622" i="3" s="1"/>
  <c r="AW625" i="3"/>
  <c r="BH625" i="3"/>
  <c r="BI627" i="3"/>
  <c r="AE627" i="3" s="1"/>
  <c r="AX640" i="3"/>
  <c r="I640" i="3"/>
  <c r="AU641" i="3"/>
  <c r="AX644" i="3"/>
  <c r="I644" i="3"/>
  <c r="I641" i="3" s="1"/>
  <c r="BH646" i="3"/>
  <c r="AD646" i="3" s="1"/>
  <c r="AW663" i="3"/>
  <c r="H663" i="3"/>
  <c r="H651" i="3" s="1"/>
  <c r="BC673" i="3"/>
  <c r="AX675" i="3"/>
  <c r="I675" i="3"/>
  <c r="BH677" i="3"/>
  <c r="AD677" i="3" s="1"/>
  <c r="AW685" i="3"/>
  <c r="H685" i="3"/>
  <c r="AX687" i="3"/>
  <c r="I687" i="3"/>
  <c r="I686" i="3" s="1"/>
  <c r="BH692" i="3"/>
  <c r="AD692" i="3" s="1"/>
  <c r="H708" i="3"/>
  <c r="BH708" i="3"/>
  <c r="AD708" i="3" s="1"/>
  <c r="I714" i="3"/>
  <c r="I713" i="3" s="1"/>
  <c r="BI714" i="3"/>
  <c r="AE714" i="3" s="1"/>
  <c r="AX714" i="3"/>
  <c r="AV714" i="3" s="1"/>
  <c r="BH733" i="3"/>
  <c r="AD733" i="3" s="1"/>
  <c r="I739" i="3"/>
  <c r="BI739" i="3"/>
  <c r="AE739" i="3" s="1"/>
  <c r="AX739" i="3"/>
  <c r="AV739" i="3" s="1"/>
  <c r="AX765" i="3"/>
  <c r="BI765" i="3"/>
  <c r="AE765" i="3" s="1"/>
  <c r="AX769" i="3"/>
  <c r="AV769" i="3" s="1"/>
  <c r="I769" i="3"/>
  <c r="BI769" i="3"/>
  <c r="AE769" i="3" s="1"/>
  <c r="BI781" i="3"/>
  <c r="AE781" i="3" s="1"/>
  <c r="AX781" i="3"/>
  <c r="AV781" i="3" s="1"/>
  <c r="AW795" i="3"/>
  <c r="H795" i="3"/>
  <c r="BH795" i="3"/>
  <c r="AD795" i="3" s="1"/>
  <c r="BH799" i="3"/>
  <c r="AD799" i="3" s="1"/>
  <c r="AW799" i="3"/>
  <c r="H799" i="3"/>
  <c r="I823" i="3"/>
  <c r="BI823" i="3"/>
  <c r="AE823" i="3" s="1"/>
  <c r="AX823" i="3"/>
  <c r="AX826" i="3"/>
  <c r="I826" i="3"/>
  <c r="BI826" i="3"/>
  <c r="AT827" i="3"/>
  <c r="AW905" i="3"/>
  <c r="BH905" i="3"/>
  <c r="AD905" i="3" s="1"/>
  <c r="H905" i="3"/>
  <c r="BC956" i="3"/>
  <c r="AV956" i="3"/>
  <c r="I958" i="3"/>
  <c r="BI958" i="3"/>
  <c r="AC958" i="3" s="1"/>
  <c r="AX958" i="3"/>
  <c r="AV958" i="3" s="1"/>
  <c r="BI961" i="3"/>
  <c r="AC961" i="3" s="1"/>
  <c r="AX961" i="3"/>
  <c r="AT979" i="3"/>
  <c r="I986" i="3"/>
  <c r="BI986" i="3"/>
  <c r="AC986" i="3" s="1"/>
  <c r="AX986" i="3"/>
  <c r="AV986" i="3" s="1"/>
  <c r="AW581" i="3"/>
  <c r="AX589" i="3"/>
  <c r="AV589" i="3" s="1"/>
  <c r="AW591" i="3"/>
  <c r="AX597" i="3"/>
  <c r="BC597" i="3" s="1"/>
  <c r="AX601" i="3"/>
  <c r="AV601" i="3" s="1"/>
  <c r="AW603" i="3"/>
  <c r="AX605" i="3"/>
  <c r="AV605" i="3" s="1"/>
  <c r="AW608" i="3"/>
  <c r="AX614" i="3"/>
  <c r="AV614" i="3" s="1"/>
  <c r="AW616" i="3"/>
  <c r="AW630" i="3"/>
  <c r="AX637" i="3"/>
  <c r="AV637" i="3" s="1"/>
  <c r="AW640" i="3"/>
  <c r="AX642" i="3"/>
  <c r="AV642" i="3" s="1"/>
  <c r="AW644" i="3"/>
  <c r="AW649" i="3"/>
  <c r="AX652" i="3"/>
  <c r="AV652" i="3" s="1"/>
  <c r="AW654" i="3"/>
  <c r="AX673" i="3"/>
  <c r="AV673" i="3" s="1"/>
  <c r="AW675" i="3"/>
  <c r="AX681" i="3"/>
  <c r="AV681" i="3" s="1"/>
  <c r="AW683" i="3"/>
  <c r="AW687" i="3"/>
  <c r="AX701" i="3"/>
  <c r="AV701" i="3" s="1"/>
  <c r="BH714" i="3"/>
  <c r="AD714" i="3" s="1"/>
  <c r="H727" i="3"/>
  <c r="AW727" i="3"/>
  <c r="BI731" i="3"/>
  <c r="AE731" i="3" s="1"/>
  <c r="I737" i="3"/>
  <c r="BH739" i="3"/>
  <c r="AD739" i="3" s="1"/>
  <c r="AW759" i="3"/>
  <c r="BH759" i="3"/>
  <c r="AD759" i="3" s="1"/>
  <c r="I761" i="3"/>
  <c r="AV771" i="3"/>
  <c r="J772" i="3"/>
  <c r="AT772" i="3"/>
  <c r="BC781" i="3"/>
  <c r="AV783" i="3"/>
  <c r="BI797" i="3"/>
  <c r="AE797" i="3" s="1"/>
  <c r="I797" i="3"/>
  <c r="AX797" i="3"/>
  <c r="BC803" i="3"/>
  <c r="I828" i="3"/>
  <c r="BI828" i="3"/>
  <c r="AE828" i="3" s="1"/>
  <c r="AX828" i="3"/>
  <c r="AV828" i="3" s="1"/>
  <c r="H832" i="3"/>
  <c r="H827" i="3" s="1"/>
  <c r="BH832" i="3"/>
  <c r="AD832" i="3" s="1"/>
  <c r="AW832" i="3"/>
  <c r="AX844" i="3"/>
  <c r="AV844" i="3" s="1"/>
  <c r="I844" i="3"/>
  <c r="I849" i="3"/>
  <c r="AX849" i="3"/>
  <c r="BI849" i="3"/>
  <c r="AE849" i="3" s="1"/>
  <c r="AU858" i="3"/>
  <c r="AS858" i="3"/>
  <c r="AX863" i="3"/>
  <c r="BC863" i="3" s="1"/>
  <c r="BI863" i="3"/>
  <c r="AE863" i="3" s="1"/>
  <c r="H885" i="3"/>
  <c r="H881" i="3" s="1"/>
  <c r="BH885" i="3"/>
  <c r="AD885" i="3" s="1"/>
  <c r="AW885" i="3"/>
  <c r="BC888" i="3"/>
  <c r="AV888" i="3"/>
  <c r="H889" i="3"/>
  <c r="BH896" i="3"/>
  <c r="AD896" i="3" s="1"/>
  <c r="AW896" i="3"/>
  <c r="AV910" i="3"/>
  <c r="BH954" i="3"/>
  <c r="AB954" i="3" s="1"/>
  <c r="AW954" i="3"/>
  <c r="H980" i="3"/>
  <c r="H979" i="3" s="1"/>
  <c r="BH980" i="3"/>
  <c r="AB980" i="3" s="1"/>
  <c r="AW980" i="3"/>
  <c r="AL1002" i="3"/>
  <c r="AU1001" i="3" s="1"/>
  <c r="J1001" i="3"/>
  <c r="AS1001" i="3"/>
  <c r="AX1005" i="3"/>
  <c r="I1005" i="3"/>
  <c r="I1001" i="3" s="1"/>
  <c r="BI1005" i="3"/>
  <c r="AG1005" i="3" s="1"/>
  <c r="C19" i="1" s="1"/>
  <c r="H1044" i="3"/>
  <c r="BH1044" i="3"/>
  <c r="AF1044" i="3" s="1"/>
  <c r="AW1044" i="3"/>
  <c r="I1101" i="3"/>
  <c r="AX1101" i="3"/>
  <c r="AX756" i="3"/>
  <c r="AV756" i="3" s="1"/>
  <c r="I756" i="3"/>
  <c r="I753" i="3" s="1"/>
  <c r="I759" i="3"/>
  <c r="AX759" i="3"/>
  <c r="AV767" i="3"/>
  <c r="H769" i="3"/>
  <c r="H753" i="3" s="1"/>
  <c r="BH769" i="3"/>
  <c r="AD769" i="3" s="1"/>
  <c r="AX785" i="3"/>
  <c r="BI785" i="3"/>
  <c r="AE785" i="3" s="1"/>
  <c r="AX789" i="3"/>
  <c r="BC789" i="3" s="1"/>
  <c r="I789" i="3"/>
  <c r="BI789" i="3"/>
  <c r="AE789" i="3" s="1"/>
  <c r="I803" i="3"/>
  <c r="BI803" i="3"/>
  <c r="AE803" i="3" s="1"/>
  <c r="AX803" i="3"/>
  <c r="AV803" i="3" s="1"/>
  <c r="H805" i="3"/>
  <c r="BH805" i="3"/>
  <c r="AD805" i="3" s="1"/>
  <c r="AW805" i="3"/>
  <c r="AX810" i="3"/>
  <c r="AV810" i="3" s="1"/>
  <c r="I810" i="3"/>
  <c r="I812" i="3"/>
  <c r="AX812" i="3"/>
  <c r="BI812" i="3"/>
  <c r="AE812" i="3" s="1"/>
  <c r="AW823" i="3"/>
  <c r="BH823" i="3"/>
  <c r="AD823" i="3" s="1"/>
  <c r="H826" i="3"/>
  <c r="BH826" i="3"/>
  <c r="AW826" i="3"/>
  <c r="AU827" i="3"/>
  <c r="BC839" i="3"/>
  <c r="AV839" i="3"/>
  <c r="AW882" i="3"/>
  <c r="BH882" i="3"/>
  <c r="AD882" i="3" s="1"/>
  <c r="AX885" i="3"/>
  <c r="I885" i="3"/>
  <c r="BI885" i="3"/>
  <c r="AE885" i="3" s="1"/>
  <c r="AV890" i="3"/>
  <c r="BC890" i="3"/>
  <c r="AW920" i="3"/>
  <c r="BH920" i="3"/>
  <c r="AD920" i="3" s="1"/>
  <c r="H920" i="3"/>
  <c r="H919" i="3" s="1"/>
  <c r="H950" i="3"/>
  <c r="AW950" i="3"/>
  <c r="BH950" i="3"/>
  <c r="AB950" i="3" s="1"/>
  <c r="BC970" i="3"/>
  <c r="AV970" i="3"/>
  <c r="AV975" i="3"/>
  <c r="BC975" i="3"/>
  <c r="BC989" i="3"/>
  <c r="AV989" i="3"/>
  <c r="AV1005" i="3"/>
  <c r="BC1005" i="3"/>
  <c r="H1041" i="3"/>
  <c r="AW1041" i="3"/>
  <c r="BH1041" i="3"/>
  <c r="AF1041" i="3" s="1"/>
  <c r="AV791" i="3"/>
  <c r="I793" i="3"/>
  <c r="BC810" i="3"/>
  <c r="AW818" i="3"/>
  <c r="AX821" i="3"/>
  <c r="BI821" i="3"/>
  <c r="AE821" i="3" s="1"/>
  <c r="AS827" i="3"/>
  <c r="BC844" i="3"/>
  <c r="AW854" i="3"/>
  <c r="BH866" i="3"/>
  <c r="AD866" i="3" s="1"/>
  <c r="H869" i="3"/>
  <c r="H858" i="3" s="1"/>
  <c r="AW869" i="3"/>
  <c r="BH872" i="3"/>
  <c r="AD872" i="3" s="1"/>
  <c r="AW872" i="3"/>
  <c r="H872" i="3"/>
  <c r="BC877" i="3"/>
  <c r="BH880" i="3"/>
  <c r="AX902" i="3"/>
  <c r="I902" i="3"/>
  <c r="I889" i="3" s="1"/>
  <c r="H912" i="3"/>
  <c r="H911" i="3" s="1"/>
  <c r="AW912" i="3"/>
  <c r="I920" i="3"/>
  <c r="I919" i="3" s="1"/>
  <c r="AX920" i="3"/>
  <c r="BI920" i="3"/>
  <c r="AE920" i="3" s="1"/>
  <c r="BI928" i="3"/>
  <c r="AC928" i="3" s="1"/>
  <c r="I928" i="3"/>
  <c r="I924" i="3" s="1"/>
  <c r="AX928" i="3"/>
  <c r="AV932" i="3"/>
  <c r="H942" i="3"/>
  <c r="BH942" i="3"/>
  <c r="AB942" i="3" s="1"/>
  <c r="AW942" i="3"/>
  <c r="AX946" i="3"/>
  <c r="AV946" i="3" s="1"/>
  <c r="BI946" i="3"/>
  <c r="AC946" i="3" s="1"/>
  <c r="I946" i="3"/>
  <c r="I936" i="3" s="1"/>
  <c r="AL964" i="3"/>
  <c r="AU963" i="3" s="1"/>
  <c r="J963" i="3"/>
  <c r="BH982" i="3"/>
  <c r="AB982" i="3" s="1"/>
  <c r="AW982" i="3"/>
  <c r="AX1025" i="3"/>
  <c r="AV1025" i="3" s="1"/>
  <c r="I1025" i="3"/>
  <c r="H1029" i="3"/>
  <c r="AW1029" i="3"/>
  <c r="BH1029" i="3"/>
  <c r="AF1029" i="3" s="1"/>
  <c r="AW1038" i="3"/>
  <c r="BH1038" i="3"/>
  <c r="AF1038" i="3" s="1"/>
  <c r="H1038" i="3"/>
  <c r="AV1047" i="3"/>
  <c r="AL1063" i="3"/>
  <c r="AU1052" i="3" s="1"/>
  <c r="J1052" i="3"/>
  <c r="H1071" i="3"/>
  <c r="I1089" i="3"/>
  <c r="BI1089" i="3"/>
  <c r="AG1089" i="3" s="1"/>
  <c r="AX1089" i="3"/>
  <c r="AV1111" i="3"/>
  <c r="BC1111" i="3"/>
  <c r="AV1140" i="3"/>
  <c r="BC1140" i="3"/>
  <c r="H789" i="3"/>
  <c r="BH789" i="3"/>
  <c r="AD789" i="3" s="1"/>
  <c r="AW812" i="3"/>
  <c r="BH812" i="3"/>
  <c r="AD812" i="3" s="1"/>
  <c r="AW849" i="3"/>
  <c r="BH849" i="3"/>
  <c r="AD849" i="3" s="1"/>
  <c r="J858" i="3"/>
  <c r="I877" i="3"/>
  <c r="BI877" i="3"/>
  <c r="AE877" i="3" s="1"/>
  <c r="AT889" i="3"/>
  <c r="BI907" i="3"/>
  <c r="AE907" i="3" s="1"/>
  <c r="AX907" i="3"/>
  <c r="AV907" i="3" s="1"/>
  <c r="I907" i="3"/>
  <c r="AW925" i="3"/>
  <c r="H925" i="3"/>
  <c r="AV928" i="3"/>
  <c r="BC928" i="3"/>
  <c r="BI942" i="3"/>
  <c r="AC942" i="3" s="1"/>
  <c r="BH944" i="3"/>
  <c r="AB944" i="3" s="1"/>
  <c r="AW944" i="3"/>
  <c r="H944" i="3"/>
  <c r="I948" i="3"/>
  <c r="BI948" i="3"/>
  <c r="AC948" i="3" s="1"/>
  <c r="AX948" i="3"/>
  <c r="AV948" i="3" s="1"/>
  <c r="H952" i="3"/>
  <c r="BH952" i="3"/>
  <c r="AB952" i="3" s="1"/>
  <c r="AW952" i="3"/>
  <c r="BC958" i="3"/>
  <c r="H961" i="3"/>
  <c r="AW961" i="3"/>
  <c r="BH961" i="3"/>
  <c r="AB961" i="3" s="1"/>
  <c r="J979" i="3"/>
  <c r="AL980" i="3"/>
  <c r="AU979" i="3" s="1"/>
  <c r="I991" i="3"/>
  <c r="BI991" i="3"/>
  <c r="AC991" i="3" s="1"/>
  <c r="AX991" i="3"/>
  <c r="AV991" i="3" s="1"/>
  <c r="BC1027" i="3"/>
  <c r="BC1032" i="3"/>
  <c r="AV1032" i="3"/>
  <c r="AX1053" i="3"/>
  <c r="AV1053" i="3" s="1"/>
  <c r="I1053" i="3"/>
  <c r="I1052" i="3" s="1"/>
  <c r="BI1053" i="3"/>
  <c r="AG1053" i="3" s="1"/>
  <c r="AV1080" i="3"/>
  <c r="BC1080" i="3"/>
  <c r="H1120" i="3"/>
  <c r="BH1120" i="3"/>
  <c r="AF1120" i="3" s="1"/>
  <c r="AW1120" i="3"/>
  <c r="AS919" i="3"/>
  <c r="BC964" i="3"/>
  <c r="H967" i="3"/>
  <c r="AW967" i="3"/>
  <c r="AS988" i="3"/>
  <c r="AV1007" i="3"/>
  <c r="AW1018" i="3"/>
  <c r="H1018" i="3"/>
  <c r="H1021" i="3"/>
  <c r="BH1021" i="3"/>
  <c r="AF1021" i="3" s="1"/>
  <c r="BH1023" i="3"/>
  <c r="AF1023" i="3" s="1"/>
  <c r="AW1023" i="3"/>
  <c r="BC1025" i="3"/>
  <c r="I1027" i="3"/>
  <c r="BI1027" i="3"/>
  <c r="AG1027" i="3" s="1"/>
  <c r="I1038" i="3"/>
  <c r="AX1038" i="3"/>
  <c r="AV1050" i="3"/>
  <c r="AV1055" i="3"/>
  <c r="AW1063" i="3"/>
  <c r="H1063" i="3"/>
  <c r="H1065" i="3"/>
  <c r="BH1065" i="3"/>
  <c r="AF1065" i="3" s="1"/>
  <c r="BH1067" i="3"/>
  <c r="AF1067" i="3" s="1"/>
  <c r="AW1067" i="3"/>
  <c r="J1079" i="3"/>
  <c r="AL1080" i="3"/>
  <c r="AU1079" i="3" s="1"/>
  <c r="BC1083" i="3"/>
  <c r="AV1083" i="3"/>
  <c r="AX1125" i="3"/>
  <c r="I1125" i="3"/>
  <c r="BI1125" i="3"/>
  <c r="AG1125" i="3" s="1"/>
  <c r="AW1143" i="3"/>
  <c r="H1143" i="3"/>
  <c r="H1142" i="3" s="1"/>
  <c r="BH1143" i="3"/>
  <c r="AF1143" i="3" s="1"/>
  <c r="I858" i="3"/>
  <c r="AS881" i="3"/>
  <c r="AS924" i="3"/>
  <c r="H934" i="3"/>
  <c r="H940" i="3"/>
  <c r="H936" i="3" s="1"/>
  <c r="I952" i="3"/>
  <c r="BI952" i="3"/>
  <c r="AC952" i="3" s="1"/>
  <c r="I964" i="3"/>
  <c r="I963" i="3" s="1"/>
  <c r="BI964" i="3"/>
  <c r="AC964" i="3" s="1"/>
  <c r="BI975" i="3"/>
  <c r="AC975" i="3" s="1"/>
  <c r="I975" i="3"/>
  <c r="I974" i="3" s="1"/>
  <c r="I980" i="3"/>
  <c r="I979" i="3" s="1"/>
  <c r="BI980" i="3"/>
  <c r="AC980" i="3" s="1"/>
  <c r="H988" i="3"/>
  <c r="AT988" i="3"/>
  <c r="BI989" i="3"/>
  <c r="AC989" i="3" s="1"/>
  <c r="BC991" i="3"/>
  <c r="BC999" i="3"/>
  <c r="AT1001" i="3"/>
  <c r="H1007" i="3"/>
  <c r="BI1010" i="3"/>
  <c r="AG1010" i="3" s="1"/>
  <c r="I1010" i="3"/>
  <c r="AX1035" i="3"/>
  <c r="BI1035" i="3"/>
  <c r="AG1035" i="3" s="1"/>
  <c r="I1035" i="3"/>
  <c r="BI1038" i="3"/>
  <c r="AG1038" i="3" s="1"/>
  <c r="H1050" i="3"/>
  <c r="H1055" i="3"/>
  <c r="H1052" i="3" s="1"/>
  <c r="BI1057" i="3"/>
  <c r="AG1057" i="3" s="1"/>
  <c r="I1057" i="3"/>
  <c r="BC1077" i="3"/>
  <c r="AV1077" i="3"/>
  <c r="H1092" i="3"/>
  <c r="BH1092" i="3"/>
  <c r="AF1092" i="3" s="1"/>
  <c r="AW1092" i="3"/>
  <c r="AX1115" i="3"/>
  <c r="I1115" i="3"/>
  <c r="BI1115" i="3"/>
  <c r="AG1115" i="3" s="1"/>
  <c r="I1117" i="3"/>
  <c r="AX1117" i="3"/>
  <c r="AT1052" i="3"/>
  <c r="I1072" i="3"/>
  <c r="I1071" i="3" s="1"/>
  <c r="BI1072" i="3"/>
  <c r="AG1072" i="3" s="1"/>
  <c r="AT1079" i="3"/>
  <c r="AW1089" i="3"/>
  <c r="H1089" i="3"/>
  <c r="AX1099" i="3"/>
  <c r="I1099" i="3"/>
  <c r="AW1101" i="3"/>
  <c r="H1101" i="3"/>
  <c r="BH1101" i="3"/>
  <c r="AF1101" i="3" s="1"/>
  <c r="AX1107" i="3"/>
  <c r="I1107" i="3"/>
  <c r="BI1107" i="3"/>
  <c r="AG1107" i="3" s="1"/>
  <c r="AW1109" i="3"/>
  <c r="H1109" i="3"/>
  <c r="BC1113" i="3"/>
  <c r="AV1113" i="3"/>
  <c r="AX1136" i="3"/>
  <c r="I1136" i="3"/>
  <c r="I1143" i="3"/>
  <c r="I1142" i="3" s="1"/>
  <c r="BI1143" i="3"/>
  <c r="AG1143" i="3" s="1"/>
  <c r="AX1143" i="3"/>
  <c r="AX1086" i="3"/>
  <c r="I1086" i="3"/>
  <c r="I1079" i="3" s="1"/>
  <c r="AW1117" i="3"/>
  <c r="H1117" i="3"/>
  <c r="H1079" i="3" s="1"/>
  <c r="AW1128" i="3"/>
  <c r="H1128" i="3"/>
  <c r="AW1138" i="3"/>
  <c r="H1138" i="3"/>
  <c r="AV869" i="3" l="1"/>
  <c r="BC869" i="3"/>
  <c r="AV805" i="3"/>
  <c r="BC805" i="3"/>
  <c r="AV885" i="3"/>
  <c r="BC885" i="3"/>
  <c r="AV759" i="3"/>
  <c r="BC759" i="3"/>
  <c r="BC675" i="3"/>
  <c r="AV675" i="3"/>
  <c r="AV789" i="3"/>
  <c r="AV620" i="3"/>
  <c r="BC620" i="3"/>
  <c r="AV587" i="3"/>
  <c r="BC587" i="3"/>
  <c r="BC922" i="3"/>
  <c r="H772" i="3"/>
  <c r="BC750" i="3"/>
  <c r="AV750" i="3"/>
  <c r="BC637" i="3"/>
  <c r="AV458" i="3"/>
  <c r="BC458" i="3"/>
  <c r="BC50" i="3"/>
  <c r="AV50" i="3"/>
  <c r="AV712" i="3"/>
  <c r="BC712" i="3"/>
  <c r="BC395" i="3"/>
  <c r="AV104" i="3"/>
  <c r="BC104" i="3"/>
  <c r="AV748" i="3"/>
  <c r="BC748" i="3"/>
  <c r="BC288" i="3"/>
  <c r="AV156" i="3"/>
  <c r="BC1063" i="3"/>
  <c r="AV1063" i="3"/>
  <c r="BC1023" i="3"/>
  <c r="AV1023" i="3"/>
  <c r="AV967" i="3"/>
  <c r="BC967" i="3"/>
  <c r="AV1029" i="3"/>
  <c r="BC1029" i="3"/>
  <c r="BC948" i="3"/>
  <c r="AV920" i="3"/>
  <c r="BC920" i="3"/>
  <c r="AV630" i="3"/>
  <c r="BC630" i="3"/>
  <c r="BC591" i="3"/>
  <c r="AV591" i="3"/>
  <c r="AV692" i="3"/>
  <c r="BC692" i="3"/>
  <c r="AV704" i="3"/>
  <c r="AV593" i="3"/>
  <c r="BC593" i="3"/>
  <c r="AV474" i="3"/>
  <c r="BC474" i="3"/>
  <c r="AV302" i="3"/>
  <c r="BC302" i="3"/>
  <c r="AV565" i="3"/>
  <c r="BC565" i="3"/>
  <c r="BC511" i="3"/>
  <c r="AV511" i="3"/>
  <c r="AV171" i="3"/>
  <c r="BC171" i="3"/>
  <c r="BC1035" i="3"/>
  <c r="AV1035" i="3"/>
  <c r="AV1125" i="3"/>
  <c r="BC1125" i="3"/>
  <c r="H924" i="3"/>
  <c r="BC872" i="3"/>
  <c r="AV872" i="3"/>
  <c r="AV1041" i="3"/>
  <c r="BC1041" i="3"/>
  <c r="BC654" i="3"/>
  <c r="AV654" i="3"/>
  <c r="BC616" i="3"/>
  <c r="AV616" i="3"/>
  <c r="AV795" i="3"/>
  <c r="BC795" i="3"/>
  <c r="AV646" i="3"/>
  <c r="BC646" i="3"/>
  <c r="BC739" i="3"/>
  <c r="BC701" i="3"/>
  <c r="AV632" i="3"/>
  <c r="BC632" i="3"/>
  <c r="BC567" i="3"/>
  <c r="AV567" i="3"/>
  <c r="AV433" i="3"/>
  <c r="BC433" i="3"/>
  <c r="AV335" i="3"/>
  <c r="BC335" i="3"/>
  <c r="BC271" i="3"/>
  <c r="AV271" i="3"/>
  <c r="BC240" i="3"/>
  <c r="AV240" i="3"/>
  <c r="BC72" i="3"/>
  <c r="AV72" i="3"/>
  <c r="BC36" i="3"/>
  <c r="AV36" i="3"/>
  <c r="BC735" i="3"/>
  <c r="AV735" i="3"/>
  <c r="I881" i="3"/>
  <c r="BC769" i="3"/>
  <c r="AV555" i="3"/>
  <c r="BC555" i="3"/>
  <c r="AV461" i="3"/>
  <c r="BC461" i="3"/>
  <c r="BC449" i="3"/>
  <c r="AV443" i="3"/>
  <c r="BC443" i="3"/>
  <c r="AV424" i="3"/>
  <c r="BC424" i="3"/>
  <c r="AV337" i="3"/>
  <c r="BC337" i="3"/>
  <c r="BC298" i="3"/>
  <c r="AV274" i="3"/>
  <c r="BC274" i="3"/>
  <c r="AV229" i="3"/>
  <c r="BC229" i="3"/>
  <c r="BC176" i="3"/>
  <c r="BC122" i="3"/>
  <c r="BC313" i="3"/>
  <c r="H254" i="3"/>
  <c r="BC233" i="3"/>
  <c r="AV186" i="3"/>
  <c r="BC186" i="3"/>
  <c r="AV151" i="3"/>
  <c r="BC151" i="3"/>
  <c r="AV514" i="3"/>
  <c r="BC514" i="3"/>
  <c r="BC723" i="3"/>
  <c r="AV723" i="3"/>
  <c r="AV618" i="3"/>
  <c r="BC618" i="3"/>
  <c r="BC487" i="3"/>
  <c r="AV487" i="3"/>
  <c r="BC481" i="3"/>
  <c r="AV476" i="3"/>
  <c r="BC476" i="3"/>
  <c r="BC471" i="3"/>
  <c r="AV308" i="3"/>
  <c r="BC308" i="3"/>
  <c r="AV252" i="3"/>
  <c r="BC252" i="3"/>
  <c r="AV231" i="3"/>
  <c r="BC231" i="3"/>
  <c r="AV209" i="3"/>
  <c r="BC209" i="3"/>
  <c r="AV129" i="3"/>
  <c r="BC129" i="3"/>
  <c r="AV109" i="3"/>
  <c r="BC109" i="3"/>
  <c r="AV90" i="3"/>
  <c r="BC90" i="3"/>
  <c r="BC828" i="3"/>
  <c r="BC575" i="3"/>
  <c r="AV575" i="3"/>
  <c r="BC166" i="3"/>
  <c r="BC146" i="3"/>
  <c r="AV118" i="3"/>
  <c r="BC118" i="3"/>
  <c r="BC97" i="3"/>
  <c r="AV38" i="3"/>
  <c r="BC38" i="3"/>
  <c r="AV666" i="3"/>
  <c r="BC666" i="3"/>
  <c r="AV584" i="3"/>
  <c r="BC584" i="3"/>
  <c r="I552" i="3"/>
  <c r="AV46" i="3"/>
  <c r="AV203" i="3"/>
  <c r="AV1136" i="3"/>
  <c r="BC1136" i="3"/>
  <c r="AV1109" i="3"/>
  <c r="BC1109" i="3"/>
  <c r="BC1099" i="3"/>
  <c r="AV1099" i="3"/>
  <c r="AV1115" i="3"/>
  <c r="BC1115" i="3"/>
  <c r="BC1067" i="3"/>
  <c r="AV1067" i="3"/>
  <c r="BC849" i="3"/>
  <c r="AV849" i="3"/>
  <c r="BC854" i="3"/>
  <c r="AV854" i="3"/>
  <c r="AV821" i="3"/>
  <c r="BC821" i="3"/>
  <c r="AV832" i="3"/>
  <c r="BC832" i="3"/>
  <c r="BC649" i="3"/>
  <c r="AV649" i="3"/>
  <c r="AV608" i="3"/>
  <c r="BC608" i="3"/>
  <c r="AV765" i="3"/>
  <c r="BC765" i="3"/>
  <c r="AV685" i="3"/>
  <c r="BC685" i="3"/>
  <c r="AV573" i="3"/>
  <c r="BC573" i="3"/>
  <c r="AV502" i="3"/>
  <c r="BC502" i="3"/>
  <c r="BC775" i="3"/>
  <c r="AV775" i="3"/>
  <c r="I724" i="3"/>
  <c r="AV422" i="3"/>
  <c r="BC422" i="3"/>
  <c r="BC248" i="3"/>
  <c r="AV248" i="3"/>
  <c r="AV733" i="3"/>
  <c r="BC733" i="3"/>
  <c r="AV797" i="3"/>
  <c r="BC797" i="3"/>
  <c r="AV551" i="3"/>
  <c r="BC551" i="3"/>
  <c r="I421" i="3"/>
  <c r="AV332" i="3"/>
  <c r="BC332" i="3"/>
  <c r="AV207" i="3"/>
  <c r="BC207" i="3"/>
  <c r="BC141" i="3"/>
  <c r="AV74" i="3"/>
  <c r="BC74" i="3"/>
  <c r="C18" i="1"/>
  <c r="AV402" i="3"/>
  <c r="BC402" i="3"/>
  <c r="AV370" i="3"/>
  <c r="BC370" i="3"/>
  <c r="AV164" i="3"/>
  <c r="BC164" i="3"/>
  <c r="C14" i="1"/>
  <c r="AV242" i="3"/>
  <c r="BC242" i="3"/>
  <c r="AV219" i="3"/>
  <c r="BC219" i="3"/>
  <c r="AV136" i="3"/>
  <c r="BC136" i="3"/>
  <c r="AV1138" i="3"/>
  <c r="BC1138" i="3"/>
  <c r="AV1117" i="3"/>
  <c r="BC1117" i="3"/>
  <c r="AV1092" i="3"/>
  <c r="BC1092" i="3"/>
  <c r="AV1120" i="3"/>
  <c r="BC1120" i="3"/>
  <c r="BC944" i="3"/>
  <c r="AV944" i="3"/>
  <c r="BC982" i="3"/>
  <c r="AV982" i="3"/>
  <c r="AV942" i="3"/>
  <c r="BC942" i="3"/>
  <c r="BC818" i="3"/>
  <c r="AV818" i="3"/>
  <c r="AV950" i="3"/>
  <c r="BC950" i="3"/>
  <c r="AV882" i="3"/>
  <c r="BC882" i="3"/>
  <c r="BC1044" i="3"/>
  <c r="AV1044" i="3"/>
  <c r="BC954" i="3"/>
  <c r="AV954" i="3"/>
  <c r="BC907" i="3"/>
  <c r="I827" i="3"/>
  <c r="BC727" i="3"/>
  <c r="AV727" i="3"/>
  <c r="BC687" i="3"/>
  <c r="AV687" i="3"/>
  <c r="BC644" i="3"/>
  <c r="AV644" i="3"/>
  <c r="AV905" i="3"/>
  <c r="BC905" i="3"/>
  <c r="AV625" i="3"/>
  <c r="BC625" i="3"/>
  <c r="BC779" i="3"/>
  <c r="AV779" i="3"/>
  <c r="BC531" i="3"/>
  <c r="AV531" i="3"/>
  <c r="BC496" i="3"/>
  <c r="AV496" i="3"/>
  <c r="AV418" i="3"/>
  <c r="BC418" i="3"/>
  <c r="AV341" i="3"/>
  <c r="BC341" i="3"/>
  <c r="BC227" i="3"/>
  <c r="AV227" i="3"/>
  <c r="AV205" i="3"/>
  <c r="BC205" i="3"/>
  <c r="BC168" i="3"/>
  <c r="AV168" i="3"/>
  <c r="BC149" i="3"/>
  <c r="AV149" i="3"/>
  <c r="BC134" i="3"/>
  <c r="AV134" i="3"/>
  <c r="BC115" i="3"/>
  <c r="AV115" i="3"/>
  <c r="AV77" i="3"/>
  <c r="BC77" i="3"/>
  <c r="AV1131" i="3"/>
  <c r="BC1131" i="3"/>
  <c r="BC1002" i="3"/>
  <c r="AV1002" i="3"/>
  <c r="H724" i="3"/>
  <c r="AV597" i="3"/>
  <c r="AV250" i="3"/>
  <c r="BC250" i="3"/>
  <c r="I185" i="3"/>
  <c r="I12" i="3" s="1"/>
  <c r="AV162" i="3"/>
  <c r="BC162" i="3"/>
  <c r="AV293" i="3"/>
  <c r="BC293" i="3"/>
  <c r="H185" i="3"/>
  <c r="H12" i="3" s="1"/>
  <c r="BC543" i="3"/>
  <c r="BC506" i="3"/>
  <c r="AV506" i="3"/>
  <c r="AV285" i="3"/>
  <c r="BC285" i="3"/>
  <c r="AV183" i="3"/>
  <c r="BC183" i="3"/>
  <c r="AV14" i="3"/>
  <c r="BC14" i="3"/>
  <c r="BC279" i="3"/>
  <c r="J1145" i="3"/>
  <c r="J12" i="3"/>
  <c r="AV1101" i="3"/>
  <c r="BC1101" i="3"/>
  <c r="AV1089" i="3"/>
  <c r="BC1089" i="3"/>
  <c r="BC1018" i="3"/>
  <c r="AV1018" i="3"/>
  <c r="AV952" i="3"/>
  <c r="BC952" i="3"/>
  <c r="BC812" i="3"/>
  <c r="AV812" i="3"/>
  <c r="AV826" i="3"/>
  <c r="BC826" i="3"/>
  <c r="AV823" i="3"/>
  <c r="BC823" i="3"/>
  <c r="AV785" i="3"/>
  <c r="BC785" i="3"/>
  <c r="AV980" i="3"/>
  <c r="BC980" i="3"/>
  <c r="BC815" i="3"/>
  <c r="BC683" i="3"/>
  <c r="AV683" i="3"/>
  <c r="AV603" i="3"/>
  <c r="BC603" i="3"/>
  <c r="BC799" i="3"/>
  <c r="AV799" i="3"/>
  <c r="AV663" i="3"/>
  <c r="BC663" i="3"/>
  <c r="BC787" i="3"/>
  <c r="AV1128" i="3"/>
  <c r="BC1128" i="3"/>
  <c r="AV1086" i="3"/>
  <c r="BC1086" i="3"/>
  <c r="BC1107" i="3"/>
  <c r="AV1107" i="3"/>
  <c r="AV1143" i="3"/>
  <c r="BC1143" i="3"/>
  <c r="BC1069" i="3"/>
  <c r="AV961" i="3"/>
  <c r="BC961" i="3"/>
  <c r="AV925" i="3"/>
  <c r="BC925" i="3"/>
  <c r="AV1038" i="3"/>
  <c r="BC1038" i="3"/>
  <c r="AV912" i="3"/>
  <c r="BC912" i="3"/>
  <c r="AV863" i="3"/>
  <c r="BC777" i="3"/>
  <c r="BC946" i="3"/>
  <c r="BC896" i="3"/>
  <c r="AV896" i="3"/>
  <c r="BC640" i="3"/>
  <c r="AV640" i="3"/>
  <c r="AV581" i="3"/>
  <c r="BC581" i="3"/>
  <c r="BC642" i="3"/>
  <c r="AV612" i="3"/>
  <c r="BC612" i="3"/>
  <c r="AV537" i="3"/>
  <c r="BC537" i="3"/>
  <c r="AV677" i="3"/>
  <c r="BC677" i="3"/>
  <c r="AV1074" i="3"/>
  <c r="BC1074" i="3"/>
  <c r="BC986" i="3"/>
  <c r="AV773" i="3"/>
  <c r="BC773" i="3"/>
  <c r="BC605" i="3"/>
  <c r="AV484" i="3"/>
  <c r="BC484" i="3"/>
  <c r="BC318" i="3"/>
  <c r="AV318" i="3"/>
  <c r="BC290" i="3"/>
  <c r="AV290" i="3"/>
  <c r="BC235" i="3"/>
  <c r="AV235" i="3"/>
  <c r="BC216" i="3"/>
  <c r="AV216" i="3"/>
  <c r="AV179" i="3"/>
  <c r="BC179" i="3"/>
  <c r="BC159" i="3"/>
  <c r="AV159" i="3"/>
  <c r="BC143" i="3"/>
  <c r="AV143" i="3"/>
  <c r="AV124" i="3"/>
  <c r="BC124" i="3"/>
  <c r="H1001" i="3"/>
  <c r="AV725" i="3"/>
  <c r="BC725" i="3"/>
  <c r="BC601" i="3"/>
  <c r="BC549" i="3"/>
  <c r="AV549" i="3"/>
  <c r="AV529" i="3"/>
  <c r="BC529" i="3"/>
  <c r="AV494" i="3"/>
  <c r="BC494" i="3"/>
  <c r="AV382" i="3"/>
  <c r="BC382" i="3"/>
  <c r="AV305" i="3"/>
  <c r="BC305" i="3"/>
  <c r="AV181" i="3"/>
  <c r="BC181" i="3"/>
  <c r="AV127" i="3"/>
  <c r="BC127" i="3"/>
  <c r="AV87" i="3"/>
  <c r="BC87" i="3"/>
  <c r="AV323" i="3"/>
  <c r="BC323" i="3"/>
  <c r="AV255" i="3"/>
  <c r="BC255" i="3"/>
  <c r="AV237" i="3"/>
  <c r="BC237" i="3"/>
  <c r="BC213" i="3"/>
  <c r="I629" i="3"/>
  <c r="AV627" i="3"/>
  <c r="BC627" i="3"/>
  <c r="AV610" i="3"/>
  <c r="BC610" i="3"/>
  <c r="BC539" i="3"/>
  <c r="AV539" i="3"/>
  <c r="BC504" i="3"/>
  <c r="AV504" i="3"/>
  <c r="AV420" i="3"/>
  <c r="BC420" i="3"/>
  <c r="AV276" i="3"/>
  <c r="BC276" i="3"/>
  <c r="BC132" i="3"/>
  <c r="AV622" i="3"/>
  <c r="BC622" i="3"/>
  <c r="BC553" i="3"/>
  <c r="AV553" i="3"/>
  <c r="C22" i="1" l="1"/>
  <c r="H21" i="2" s="1"/>
  <c r="I21" i="2" s="1"/>
  <c r="I27" i="2" l="1"/>
  <c r="F29" i="2" s="1"/>
  <c r="I14" i="1"/>
  <c r="I22" i="1" s="1"/>
  <c r="C29" i="1" s="1"/>
  <c r="F29" i="1" l="1"/>
  <c r="I28" i="1"/>
  <c r="I29" i="1" s="1"/>
</calcChain>
</file>

<file path=xl/sharedStrings.xml><?xml version="1.0" encoding="utf-8"?>
<sst xmlns="http://schemas.openxmlformats.org/spreadsheetml/2006/main" count="6261" uniqueCount="1803">
  <si>
    <t>Krycí list slepého rozpočtu</t>
  </si>
  <si>
    <t>Název stavby:</t>
  </si>
  <si>
    <t>Objednatel:</t>
  </si>
  <si>
    <t>IČO/DIČ:</t>
  </si>
  <si>
    <t/>
  </si>
  <si>
    <t>Druh stavby:</t>
  </si>
  <si>
    <t>Projektant:</t>
  </si>
  <si>
    <t>28830997/CZ28830997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</si>
  <si>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</si>
  <si>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</si>
  <si>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</si>
  <si>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</si>
  <si>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</si>
  <si>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</si>
  <si>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</si>
  <si>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</si>
  <si>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</si>
  <si>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</si>
  <si>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</si>
  <si>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</si>
  <si>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</si>
  <si>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</si>
  <si>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</si>
  <si>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</si>
  <si>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</si>
  <si>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</si>
  <si>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</si>
  <si>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</si>
  <si>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</si>
  <si>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</si>
  <si>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</si>
  <si>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</si>
  <si>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</si>
  <si>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</si>
  <si>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</si>
  <si>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</si>
  <si>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</si>
  <si>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</si>
  <si>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</si>
  <si>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</si>
  <si>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</si>
  <si>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</si>
  <si>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</si>
  <si>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</si>
  <si>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</si>
  <si>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</si>
  <si>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</si>
  <si>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</si>
  <si>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</si>
  <si>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</si>
  <si>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</si>
  <si>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</si>
  <si>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</si>
  <si>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</si>
  <si>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</si>
  <si>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</si>
  <si>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</si>
  <si>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</si>
  <si>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</si>
  <si>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</si>
  <si>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</si>
  <si>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</si>
  <si>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</si>
  <si>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</si>
  <si>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</si>
  <si>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</si>
  <si>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</si>
  <si>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</si>
  <si>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</si>
  <si>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Geodetické práce</t>
  </si>
  <si>
    <t>Celkem ORN</t>
  </si>
  <si>
    <t>Slepý stavební rozpočet</t>
  </si>
  <si>
    <t>Objekt pro dětskou skupinu</t>
  </si>
  <si>
    <t>Doba výstavby:</t>
  </si>
  <si>
    <t xml:space="preserve"> </t>
  </si>
  <si>
    <t>Obec Hořice</t>
  </si>
  <si>
    <t>novostavba</t>
  </si>
  <si>
    <t>ARCHIN s.r.o.</t>
  </si>
  <si>
    <t>Hroznětice</t>
  </si>
  <si>
    <t> </t>
  </si>
  <si>
    <t>Zpracováno dne: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</si>
  <si>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</si>
  <si>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</si>
  <si>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</si>
  <si>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</si>
  <si>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</si>
  <si>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</si>
  <si>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</si>
  <si>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</si>
  <si>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</si>
  <si>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</si>
  <si>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</si>
  <si>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</si>
  <si>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</si>
  <si>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</si>
  <si>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</si>
  <si>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</si>
  <si>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</si>
  <si>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</si>
  <si>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</si>
  <si>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</si>
  <si>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</si>
  <si>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</si>
  <si>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</si>
  <si>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</si>
  <si>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</si>
  <si>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</si>
  <si>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</si>
  <si>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</si>
  <si>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Nezařazeno</t>
  </si>
  <si>
    <t>13</t>
  </si>
  <si>
    <t>Hloubené vykopávky</t>
  </si>
  <si>
    <t>1</t>
  </si>
  <si>
    <t>132201212R00</t>
  </si>
  <si>
    <t>Hloubení rýh š.do 200 cm hor.3 do 1000m3,STROJNĚ</t>
  </si>
  <si>
    <t>m3</t>
  </si>
  <si>
    <t>RTS II / 2024</t>
  </si>
  <si>
    <t>13_</t>
  </si>
  <si>
    <t>_1_</t>
  </si>
  <si>
    <t>_</t>
  </si>
  <si>
    <t>4,9*6,55</t>
  </si>
  <si>
    <t>14*2*0,7</t>
  </si>
  <si>
    <t>14,7*1,9*1,04</t>
  </si>
  <si>
    <t>7,5*2*1,45</t>
  </si>
  <si>
    <t>(4,5+5,55)*4,9</t>
  </si>
  <si>
    <t>(4,95+1,74)*1,3*1,8</t>
  </si>
  <si>
    <t>6,3*1,3*1,4</t>
  </si>
  <si>
    <t>5*1*1,2</t>
  </si>
  <si>
    <t>6*0,8*1,2</t>
  </si>
  <si>
    <t>přípojka kanalizace</t>
  </si>
  <si>
    <t>64*0,8*1,2</t>
  </si>
  <si>
    <t>dešťová kanalizace</t>
  </si>
  <si>
    <t>2</t>
  </si>
  <si>
    <t>132201219R00</t>
  </si>
  <si>
    <t>Přípl.za lepivost,hloubení rýh 200cm,hor.3,STROJNĚ</t>
  </si>
  <si>
    <t>3</t>
  </si>
  <si>
    <t>131201110R00</t>
  </si>
  <si>
    <t>Hloubení nezapaž. jam hor.3 do 50 m3, STROJNĚ</t>
  </si>
  <si>
    <t>(pi*0,15^2*0,9)*8</t>
  </si>
  <si>
    <t>patky pod terasou</t>
  </si>
  <si>
    <t>4</t>
  </si>
  <si>
    <t>3,2*3,2*1,5</t>
  </si>
  <si>
    <t>vsak</t>
  </si>
  <si>
    <t>1*1*1,4</t>
  </si>
  <si>
    <t>vodoměrná šachta</t>
  </si>
  <si>
    <t>8</t>
  </si>
  <si>
    <t>jímka</t>
  </si>
  <si>
    <t>5</t>
  </si>
  <si>
    <t>131201119R00</t>
  </si>
  <si>
    <t>Příplatek za lepivost - hloubení nezap.jam v hor.3</t>
  </si>
  <si>
    <t>6</t>
  </si>
  <si>
    <t>132201110R00</t>
  </si>
  <si>
    <t>Hloubení rýh š.do 60 cm v hor.3 do 50 m3, STROJNĚ</t>
  </si>
  <si>
    <t>38*0,5*1,3</t>
  </si>
  <si>
    <t>přípojka vody</t>
  </si>
  <si>
    <t>12*0,5*1,3</t>
  </si>
  <si>
    <t>27*0,4*0,6</t>
  </si>
  <si>
    <t>ležatá kanalizace</t>
  </si>
  <si>
    <t>7</t>
  </si>
  <si>
    <t>132201119R00</t>
  </si>
  <si>
    <t>Přípl.za lepivost,hloubení rýh 60 cm,hor.3,STROJNĚ</t>
  </si>
  <si>
    <t>16</t>
  </si>
  <si>
    <t>Přemístění výkopku</t>
  </si>
  <si>
    <t>162201102R00</t>
  </si>
  <si>
    <t>Vodorovné přemístění výkopku z hor.1-4 do 50 m</t>
  </si>
  <si>
    <t>16_</t>
  </si>
  <si>
    <t>9</t>
  </si>
  <si>
    <t>162601102R00</t>
  </si>
  <si>
    <t>Vodorovné přemístění výkopku z hor.1-4 do 5000 m</t>
  </si>
  <si>
    <t>81,57+20,48+6,55</t>
  </si>
  <si>
    <t>10</t>
  </si>
  <si>
    <t>979999973R00</t>
  </si>
  <si>
    <t>Poplatek za uložení, zemina a kamení, (skup.170504)</t>
  </si>
  <si>
    <t>t</t>
  </si>
  <si>
    <t>108,6*1,5</t>
  </si>
  <si>
    <t>17</t>
  </si>
  <si>
    <t>Konstrukce ze zemin</t>
  </si>
  <si>
    <t>11</t>
  </si>
  <si>
    <t>174101101R00</t>
  </si>
  <si>
    <t>Zásyp jam, rýh, šachet se zhutněním</t>
  </si>
  <si>
    <t>17_</t>
  </si>
  <si>
    <t>0,59*14,2</t>
  </si>
  <si>
    <t>obsyp základ.pasů</t>
  </si>
  <si>
    <t>0,17*14</t>
  </si>
  <si>
    <t>0,34*5,9</t>
  </si>
  <si>
    <t>0,55*6,3*2</t>
  </si>
  <si>
    <t>0,55*4,95*2</t>
  </si>
  <si>
    <t>0,25*4,95*2</t>
  </si>
  <si>
    <t>2,79*7,7</t>
  </si>
  <si>
    <t>vyrov.zásyp</t>
  </si>
  <si>
    <t>2,86*2,5</t>
  </si>
  <si>
    <t>1,23*5,25</t>
  </si>
  <si>
    <t>12</t>
  </si>
  <si>
    <t>175101201R00</t>
  </si>
  <si>
    <t>Obsyp objektu bez prohození sypaniny</t>
  </si>
  <si>
    <t>54</t>
  </si>
  <si>
    <t>175101101RT2</t>
  </si>
  <si>
    <t>Obsyp potrubí bez prohození sypaniny</t>
  </si>
  <si>
    <t>Varianta:</t>
  </si>
  <si>
    <t>s dodáním štěrkopísku frakce 0 - 22 mm</t>
  </si>
  <si>
    <t>38*0,5*0,2</t>
  </si>
  <si>
    <t>12*0,5*0,2</t>
  </si>
  <si>
    <t>27*0,4*0,4</t>
  </si>
  <si>
    <t>6*0,8*0,4</t>
  </si>
  <si>
    <t>64*0,8*0,4</t>
  </si>
  <si>
    <t>14</t>
  </si>
  <si>
    <t>38*0,5*1,1</t>
  </si>
  <si>
    <t>12*0,5*1,1</t>
  </si>
  <si>
    <t>27*0,4*0,2</t>
  </si>
  <si>
    <t>6*0,8*0,8</t>
  </si>
  <si>
    <t>64*0,8*0,8</t>
  </si>
  <si>
    <t>18</t>
  </si>
  <si>
    <t>Povrchové úpravy terénu</t>
  </si>
  <si>
    <t>15</t>
  </si>
  <si>
    <t>181301102R00</t>
  </si>
  <si>
    <t>Rozprostření ornice, rovina, tl. 10-15 cm,do 500m2</t>
  </si>
  <si>
    <t>m2</t>
  </si>
  <si>
    <t>18_</t>
  </si>
  <si>
    <t>275</t>
  </si>
  <si>
    <t>5832012</t>
  </si>
  <si>
    <t>Zemina zahradní, tříděná 0/8</t>
  </si>
  <si>
    <t>44</t>
  </si>
  <si>
    <t>21</t>
  </si>
  <si>
    <t>Úprava podloží a základové spáry</t>
  </si>
  <si>
    <t>215901101RT5</t>
  </si>
  <si>
    <t>Zhutnění podloží z hornin nesoudržných do 92% PS</t>
  </si>
  <si>
    <t>21_</t>
  </si>
  <si>
    <t>_2_</t>
  </si>
  <si>
    <t>vibrační deskou</t>
  </si>
  <si>
    <t>52,2*1,12</t>
  </si>
  <si>
    <t>18,71*0,6</t>
  </si>
  <si>
    <t>212753112R00</t>
  </si>
  <si>
    <t>Montáž ohebné dren. trubky do rýhy DN 65, bez lože</t>
  </si>
  <si>
    <t>m</t>
  </si>
  <si>
    <t>33,33</t>
  </si>
  <si>
    <t>19</t>
  </si>
  <si>
    <t>28611221.A</t>
  </si>
  <si>
    <t>Trubka PVC drenážní flexibilní d 65 mm</t>
  </si>
  <si>
    <t>;ztratné 5%; 1,6665</t>
  </si>
  <si>
    <t>20</t>
  </si>
  <si>
    <t>212755114R00</t>
  </si>
  <si>
    <t>Trativody z drenážních trubek DN 10 cm bez lože</t>
  </si>
  <si>
    <t>10,40</t>
  </si>
  <si>
    <t>212682111R00</t>
  </si>
  <si>
    <t>Lože trativodu z prohoz. vykopového materiálu</t>
  </si>
  <si>
    <t>52,79*0,7*0,5</t>
  </si>
  <si>
    <t>22</t>
  </si>
  <si>
    <t>212753114R00</t>
  </si>
  <si>
    <t>Montáž ohebné dren. trubky do rýhy DN 100,bez lože</t>
  </si>
  <si>
    <t>52,79</t>
  </si>
  <si>
    <t>23</t>
  </si>
  <si>
    <t>28611223.A</t>
  </si>
  <si>
    <t>Trubka PVC drenážní flexibilní d 100 mm</t>
  </si>
  <si>
    <t>;ztratné 5%; 2,6395</t>
  </si>
  <si>
    <t>24</t>
  </si>
  <si>
    <t>212971110R00</t>
  </si>
  <si>
    <t>Opláštění trativodů z geotext., do sklonu 1:2,5</t>
  </si>
  <si>
    <t>52,79*0,9425</t>
  </si>
  <si>
    <t>25</t>
  </si>
  <si>
    <t>67390503</t>
  </si>
  <si>
    <t>Geotextilie netkaná geoNETEX S07 300 g/m2</t>
  </si>
  <si>
    <t>;ztratné 5%; 2,487729</t>
  </si>
  <si>
    <t>26</t>
  </si>
  <si>
    <t>212531111R00</t>
  </si>
  <si>
    <t>Výplň odvodňov. trativodů kam. hrubě drcen. 63 mm</t>
  </si>
  <si>
    <t>6,75</t>
  </si>
  <si>
    <t>retenční vsak</t>
  </si>
  <si>
    <t>27</t>
  </si>
  <si>
    <t>213151121R00</t>
  </si>
  <si>
    <t>Obalení vsakovacích bloků geotextílií</t>
  </si>
  <si>
    <t>30,72</t>
  </si>
  <si>
    <t>28</t>
  </si>
  <si>
    <t>67390502</t>
  </si>
  <si>
    <t>Geotextilie netkaná  200 g/m2</t>
  </si>
  <si>
    <t>;ztratné 10%; 3,072</t>
  </si>
  <si>
    <t>29</t>
  </si>
  <si>
    <t>213151111R00</t>
  </si>
  <si>
    <t>Montáž vsakovacího bloku nebo tunelu do V 450 l</t>
  </si>
  <si>
    <t>kus</t>
  </si>
  <si>
    <t>32</t>
  </si>
  <si>
    <t>30</t>
  </si>
  <si>
    <t>28697912</t>
  </si>
  <si>
    <t>Tělo vsakovacího bloku 205 l</t>
  </si>
  <si>
    <t>31</t>
  </si>
  <si>
    <t>28697913</t>
  </si>
  <si>
    <t>Dno vsakovacího bloku 25 l</t>
  </si>
  <si>
    <t>Základy</t>
  </si>
  <si>
    <t>274321321R00</t>
  </si>
  <si>
    <t>Železobeton základových pasů C 20/25</t>
  </si>
  <si>
    <t>27_</t>
  </si>
  <si>
    <t>52,79*0,8*0,5</t>
  </si>
  <si>
    <t>18,71*0,6*0,5</t>
  </si>
  <si>
    <t>33</t>
  </si>
  <si>
    <t>274351215R00</t>
  </si>
  <si>
    <t>Bednění stěn základových pasů - zřízení</t>
  </si>
  <si>
    <t>52,79*0,5</t>
  </si>
  <si>
    <t>34</t>
  </si>
  <si>
    <t>274351216R00</t>
  </si>
  <si>
    <t>Bednění stěn základových pasů - odstranění</t>
  </si>
  <si>
    <t>35</t>
  </si>
  <si>
    <t>274272160RT4</t>
  </si>
  <si>
    <t>Zdivo základové z bednicích tvárnic, tl. 500 mm</t>
  </si>
  <si>
    <t>výplň tvárnic betonem C 20/25</t>
  </si>
  <si>
    <t>51,49*1,5</t>
  </si>
  <si>
    <t>36</t>
  </si>
  <si>
    <t>274272140RT4</t>
  </si>
  <si>
    <t>Zdivo základové z bednicích tvárnic, tl. 300 mm</t>
  </si>
  <si>
    <t>19,29*1,5</t>
  </si>
  <si>
    <t>37</t>
  </si>
  <si>
    <t>271531112R00</t>
  </si>
  <si>
    <t>Polštář základu z kameniva hr. drceného 32-63 mm</t>
  </si>
  <si>
    <t>97,18*0,15</t>
  </si>
  <si>
    <t>4*6,8*0,15</t>
  </si>
  <si>
    <t>38</t>
  </si>
  <si>
    <t>273321321R00</t>
  </si>
  <si>
    <t>Železobeton základových desek C 20/25</t>
  </si>
  <si>
    <t>128,02*0,15</t>
  </si>
  <si>
    <t>39</t>
  </si>
  <si>
    <t>273351215R00</t>
  </si>
  <si>
    <t>Bednění stěn základových desek - zřízení</t>
  </si>
  <si>
    <t>51,58*0,2</t>
  </si>
  <si>
    <t>40</t>
  </si>
  <si>
    <t>273351216R00</t>
  </si>
  <si>
    <t>Bednění stěn základových desek - odstranění</t>
  </si>
  <si>
    <t>41</t>
  </si>
  <si>
    <t>273361921RT5</t>
  </si>
  <si>
    <t>Výztuž základových desek ze svařovaných sítí</t>
  </si>
  <si>
    <t>KH 20, drát d 6,0 mm, oko 150 x 150 mm</t>
  </si>
  <si>
    <t>128,02*0,00303*2</t>
  </si>
  <si>
    <t>42</t>
  </si>
  <si>
    <t>275313621R00</t>
  </si>
  <si>
    <t>Beton základových patek prostý C 20/25</t>
  </si>
  <si>
    <t>(pi*0,15^2*2,11)*12</t>
  </si>
  <si>
    <t>43</t>
  </si>
  <si>
    <t>275356031R00</t>
  </si>
  <si>
    <t>Bednění základ. patek BV ploch zaoblených zřízení</t>
  </si>
  <si>
    <t>(2*pi*0,15*(0,15+1,2))*8</t>
  </si>
  <si>
    <t>(2*pi*0,15*(0,15+2,11))*4</t>
  </si>
  <si>
    <t>275356032R00</t>
  </si>
  <si>
    <t>Bednění základ. patek BV ploch zaoblených odstran.</t>
  </si>
  <si>
    <t>45</t>
  </si>
  <si>
    <t>274353122R00</t>
  </si>
  <si>
    <t>Bednění prostupů a kotevních otvorů v základových pasech do 0,05 m2, hl. 1 m</t>
  </si>
  <si>
    <t>46</t>
  </si>
  <si>
    <t>274361314R00</t>
  </si>
  <si>
    <t>Výztuž základových pasů nad 12mm z oceli B500B (10 505)</t>
  </si>
  <si>
    <t>1,6</t>
  </si>
  <si>
    <t>47</t>
  </si>
  <si>
    <t>271531113R00</t>
  </si>
  <si>
    <t>Polštář základu z kameniva hr. drceného 16-32 mm</t>
  </si>
  <si>
    <t>0,3</t>
  </si>
  <si>
    <t>podsyp pod vodoměrnou šachtou</t>
  </si>
  <si>
    <t>Zdi podpěrné a volné</t>
  </si>
  <si>
    <t>48</t>
  </si>
  <si>
    <t>311238912R00</t>
  </si>
  <si>
    <t>1. řada z tvárnic POROTHERM 30 S Profi tl. 300 mm</t>
  </si>
  <si>
    <t>31_</t>
  </si>
  <si>
    <t>_3_</t>
  </si>
  <si>
    <t>51,58</t>
  </si>
  <si>
    <t>19,29</t>
  </si>
  <si>
    <t>49</t>
  </si>
  <si>
    <t>311238154R00</t>
  </si>
  <si>
    <t>Zdivo POROTHERM 30 Profi P15, tl. 300 mm</t>
  </si>
  <si>
    <t>65,49*3</t>
  </si>
  <si>
    <t>1NP</t>
  </si>
  <si>
    <t>-3,05*2,75</t>
  </si>
  <si>
    <t>-6,5*1,1</t>
  </si>
  <si>
    <t>-3,25*2,05</t>
  </si>
  <si>
    <t>-1,55*2,75</t>
  </si>
  <si>
    <t>-4,25*2,75</t>
  </si>
  <si>
    <t>-4,1*2,75</t>
  </si>
  <si>
    <t>-0,9*2,15*3</t>
  </si>
  <si>
    <t>8,9*3</t>
  </si>
  <si>
    <t>2NP</t>
  </si>
  <si>
    <t>-1,45*2,15</t>
  </si>
  <si>
    <t>8,6+8,6+4,3+4,3</t>
  </si>
  <si>
    <t>(13,7+6,25+6,25+4,3+1,8)*0,25</t>
  </si>
  <si>
    <t>-5,55*0,72*2+(pi*0,6^2)</t>
  </si>
  <si>
    <t>50</t>
  </si>
  <si>
    <t>317168131R00</t>
  </si>
  <si>
    <t>Překlad POROTHERM KP 7 vysoký 70 x 238 x 1250 mm pro orientované uložení</t>
  </si>
  <si>
    <t>4*3</t>
  </si>
  <si>
    <t>51</t>
  </si>
  <si>
    <t>317168122R00</t>
  </si>
  <si>
    <t>Překlad POROTHERM KP plochý 145 x 71 x 1250 mm</t>
  </si>
  <si>
    <t>52</t>
  </si>
  <si>
    <t>317168112R00</t>
  </si>
  <si>
    <t>Překlad POROTHERM KP plochý 115 x 71 x 1250 mm</t>
  </si>
  <si>
    <t>53</t>
  </si>
  <si>
    <t>317941123R00</t>
  </si>
  <si>
    <t>Osazení ocelových válcovaných nosníků  č. 14 - 22</t>
  </si>
  <si>
    <t>3,8*0,0219</t>
  </si>
  <si>
    <t>(3,75+3,75+3,55+3,55)*0,0219</t>
  </si>
  <si>
    <t>(4,6+4,6+4,75+4,75)*0,0311</t>
  </si>
  <si>
    <t>13480810</t>
  </si>
  <si>
    <t>Tyč ocelová I 180, S235JR</t>
  </si>
  <si>
    <t>;ztratné 8%; 0,0066576</t>
  </si>
  <si>
    <t>55</t>
  </si>
  <si>
    <t>13480815</t>
  </si>
  <si>
    <t>Tyč ocelová I 200, S235JR</t>
  </si>
  <si>
    <t>;ztratné 8%; 0,0255792</t>
  </si>
  <si>
    <t>56</t>
  </si>
  <si>
    <t>13480820</t>
  </si>
  <si>
    <t>Tyč ocelová I 220, S235JR</t>
  </si>
  <si>
    <t>;ztratné 8%; 0,0465256</t>
  </si>
  <si>
    <t>57</t>
  </si>
  <si>
    <t>317941125R00</t>
  </si>
  <si>
    <t>Osazení ocelových válcovaných nosníků č. 22 a vyšší</t>
  </si>
  <si>
    <t>14*0,0362</t>
  </si>
  <si>
    <t>58</t>
  </si>
  <si>
    <t>13480825</t>
  </si>
  <si>
    <t>Tyč ocelová I 240, S235JR</t>
  </si>
  <si>
    <t>;ztratné 8%; 0,040544</t>
  </si>
  <si>
    <t>59</t>
  </si>
  <si>
    <t>317168132R00</t>
  </si>
  <si>
    <t>Překlad POROTHERM KP 7 vysoký 70 x 238 x 1500 mm pro orientované uložení</t>
  </si>
  <si>
    <t>4*2</t>
  </si>
  <si>
    <t>60</t>
  </si>
  <si>
    <t>314252104R00</t>
  </si>
  <si>
    <t>Komín, sada paty komína, DN 180 mm</t>
  </si>
  <si>
    <t>61</t>
  </si>
  <si>
    <t>314252204R00</t>
  </si>
  <si>
    <t>Komín, střední část, DN 180 mm</t>
  </si>
  <si>
    <t>6,5</t>
  </si>
  <si>
    <t>62</t>
  </si>
  <si>
    <t>314252405R00</t>
  </si>
  <si>
    <t>Komín, krakorcová a krycí deska DN 180 a 200 mm</t>
  </si>
  <si>
    <t>sada</t>
  </si>
  <si>
    <t>63</t>
  </si>
  <si>
    <t>314252604R00</t>
  </si>
  <si>
    <t>Komín, obezdívka, DN 180 mm</t>
  </si>
  <si>
    <t>1,7</t>
  </si>
  <si>
    <t>64</t>
  </si>
  <si>
    <t>317168124R00</t>
  </si>
  <si>
    <t>Překlad POROTHERM KP plochý 145 x 71 x 1750 mm</t>
  </si>
  <si>
    <t>Sloupy a pilíře, stožáry a rámové stojky</t>
  </si>
  <si>
    <t>65</t>
  </si>
  <si>
    <t>330311810R00</t>
  </si>
  <si>
    <t>Beton sloupů a pilířů prostý C 20/25</t>
  </si>
  <si>
    <t>33_</t>
  </si>
  <si>
    <t>(3,25+3)*0,2*0,2</t>
  </si>
  <si>
    <t>ocelové sloupy</t>
  </si>
  <si>
    <t>66</t>
  </si>
  <si>
    <t>338171112R00</t>
  </si>
  <si>
    <t>Osazení sloupků plot.ocelových do 2 m,zabet.C25/30</t>
  </si>
  <si>
    <t>67</t>
  </si>
  <si>
    <t>55342340</t>
  </si>
  <si>
    <t>Sloupek plotový průběžný komaxit 2500 x 38 x 1,5 mm</t>
  </si>
  <si>
    <t>68</t>
  </si>
  <si>
    <t>55342344</t>
  </si>
  <si>
    <t>Sloupek plotový kraj a roh komaxit 2500 x 48 x 1,5 mm</t>
  </si>
  <si>
    <t>69</t>
  </si>
  <si>
    <t>55342346</t>
  </si>
  <si>
    <t>Vzpěra plotová komaxit 2000 x 38 x 1,5 mm</t>
  </si>
  <si>
    <t>70</t>
  </si>
  <si>
    <t>55342604</t>
  </si>
  <si>
    <t>Branka h = 1750 mm, š = 1000 mm, komaxit, 2 sloupky</t>
  </si>
  <si>
    <t>71</t>
  </si>
  <si>
    <t>55342691</t>
  </si>
  <si>
    <t>Objímka k uchycení vzpěry ke sloupku d 48 mm, Zn + komaxit</t>
  </si>
  <si>
    <t>Stěny a příčky</t>
  </si>
  <si>
    <t>72</t>
  </si>
  <si>
    <t>342248144R00</t>
  </si>
  <si>
    <t>Příčky POROTHERM 14 Profi, tl. 140 mm</t>
  </si>
  <si>
    <t>34_</t>
  </si>
  <si>
    <t>5,65*3,25</t>
  </si>
  <si>
    <t>-0,9*2,15</t>
  </si>
  <si>
    <t>-0,8*2,15</t>
  </si>
  <si>
    <t>73</t>
  </si>
  <si>
    <t>342248141R00</t>
  </si>
  <si>
    <t>Příčky POROTHERM 11,5 Profi, tl. 115 mm</t>
  </si>
  <si>
    <t>(2,5+2,5+0,4+2,7+2,25+1,7)*3,25</t>
  </si>
  <si>
    <t>74</t>
  </si>
  <si>
    <t>342265122RT6</t>
  </si>
  <si>
    <t>Úprava podkroví sádrokarton. na ocel. rošt, šikmá</t>
  </si>
  <si>
    <t>desky protipožární tl. 12,5 mm, bez izolace</t>
  </si>
  <si>
    <t>13,1*3,8</t>
  </si>
  <si>
    <t>1,7*3,8</t>
  </si>
  <si>
    <t>4,2*3,8</t>
  </si>
  <si>
    <t>6,6*3</t>
  </si>
  <si>
    <t>-1,14*1,6*3</t>
  </si>
  <si>
    <t>-0,6*0,6</t>
  </si>
  <si>
    <t>75</t>
  </si>
  <si>
    <t>342265132RT5</t>
  </si>
  <si>
    <t>Úprava podkroví sádrokarton. na ocel. rošt vodor.</t>
  </si>
  <si>
    <t>desky standard tl. 12,5 mm, bez izolace</t>
  </si>
  <si>
    <t>0,6*6,6</t>
  </si>
  <si>
    <t>76</t>
  </si>
  <si>
    <t>342265193R00</t>
  </si>
  <si>
    <t>Příplatek za otvor v podhledu podkroví pl. 1,00 m2</t>
  </si>
  <si>
    <t>77</t>
  </si>
  <si>
    <t>342265998RT2</t>
  </si>
  <si>
    <t>Příplatek k úpravě podkroví za plochu do 10 m2</t>
  </si>
  <si>
    <t>pro plochy 2 - 5 m2</t>
  </si>
  <si>
    <t>3,96</t>
  </si>
  <si>
    <t>78</t>
  </si>
  <si>
    <t>346275115R00</t>
  </si>
  <si>
    <t>Přizdívky z desek Ytong tl. 150 mm</t>
  </si>
  <si>
    <t>4,7*1,2</t>
  </si>
  <si>
    <t>1,7*3</t>
  </si>
  <si>
    <t>2,5*3</t>
  </si>
  <si>
    <t>1,1*3</t>
  </si>
  <si>
    <t>Stropy a stropní konstrukce (pro pozemní stavby)</t>
  </si>
  <si>
    <t>79</t>
  </si>
  <si>
    <t>416021122R00</t>
  </si>
  <si>
    <t>Podhledy SDK, kovová.kce CD. 1x deska RF 12,5 mm</t>
  </si>
  <si>
    <t>41_</t>
  </si>
  <si>
    <t>_4_</t>
  </si>
  <si>
    <t>6,6*5,55</t>
  </si>
  <si>
    <t>51,66</t>
  </si>
  <si>
    <t>80</t>
  </si>
  <si>
    <t>413941123R00</t>
  </si>
  <si>
    <t>Osazení válcovaných nosníků ve stropech č. 14 - 22</t>
  </si>
  <si>
    <t>41,6*0,0262</t>
  </si>
  <si>
    <t>81</t>
  </si>
  <si>
    <t>;ztratné 8%; 0,0871936</t>
  </si>
  <si>
    <t>82</t>
  </si>
  <si>
    <t>413941125R00</t>
  </si>
  <si>
    <t>Osazení válcovaných nosníků ve stropech č.24 a výš</t>
  </si>
  <si>
    <t>14,4*0,0542</t>
  </si>
  <si>
    <t>83</t>
  </si>
  <si>
    <t>13480940</t>
  </si>
  <si>
    <t>Tyč ocelová I 280, S235JR</t>
  </si>
  <si>
    <t>0,78048</t>
  </si>
  <si>
    <t>;ztratné 8%; 0,0624384</t>
  </si>
  <si>
    <t>84</t>
  </si>
  <si>
    <t>411168242RT2</t>
  </si>
  <si>
    <t>Strop, osová vzdálenost nosníků 625 mm, tl. 250 mm, nosník 2,25 - 3 m</t>
  </si>
  <si>
    <t>s Kari sítí KA 18, drát d 4 mm, oko 200 x 200 mm</t>
  </si>
  <si>
    <t>8,3*3,1</t>
  </si>
  <si>
    <t>3*2,8</t>
  </si>
  <si>
    <t>85</t>
  </si>
  <si>
    <t>411168244RT2</t>
  </si>
  <si>
    <t>Strop, osová vzdálenost nosníků 625 mm, tl. 250 mm, nosník 4,25 - 5 m</t>
  </si>
  <si>
    <t>2,5*4,5</t>
  </si>
  <si>
    <t>86</t>
  </si>
  <si>
    <t>411168241RT2</t>
  </si>
  <si>
    <t>Strop, osová vzdálenost nosníků 625 mm, tl. 250 mm, nosník do 2 m</t>
  </si>
  <si>
    <t>5,65*2</t>
  </si>
  <si>
    <t>87</t>
  </si>
  <si>
    <t>417321315R00</t>
  </si>
  <si>
    <t>Ztužující pásy a věnce z betonu železového C 20/25</t>
  </si>
  <si>
    <t>(13,7+6,25+4,5+6,25+2+8,9+2,7)*0,3*0,2</t>
  </si>
  <si>
    <t>(5,55+5,55+7,2)*0,3*0,25</t>
  </si>
  <si>
    <t>8,9*0,17*0,3</t>
  </si>
  <si>
    <t>6,9*0,3*0,438</t>
  </si>
  <si>
    <t>88</t>
  </si>
  <si>
    <t>417351115R00</t>
  </si>
  <si>
    <t>Bednění ztužujících pásů a věnců - zřízení</t>
  </si>
  <si>
    <t>(13,7+6,25+4,5+6,25+2+8,9+2,7)*0,25*2</t>
  </si>
  <si>
    <t>(5,55+5,55+7,2)*0,3*2</t>
  </si>
  <si>
    <t>8,9*0,2*2</t>
  </si>
  <si>
    <t>6,9*0,438*2</t>
  </si>
  <si>
    <t>89</t>
  </si>
  <si>
    <t>417351116R00</t>
  </si>
  <si>
    <t>Bednění ztužujících pásů a věnců - odstranění</t>
  </si>
  <si>
    <t>90</t>
  </si>
  <si>
    <t>417361821R00</t>
  </si>
  <si>
    <t>Výztuž ztužujících pásů a věnců z oceli B500B (10 505)</t>
  </si>
  <si>
    <t>(13,7+6,25+4,5+6,25+2+8,9+2,7)*4*0,00089</t>
  </si>
  <si>
    <t>(5,55+5,55+7,2)*4*0,00089</t>
  </si>
  <si>
    <t>(13,7+6,25+4,5+6,25+2+8,9+2,7)/0,25*0,00022</t>
  </si>
  <si>
    <t>(5,55+5,55+7,2)/0,25*0,00022</t>
  </si>
  <si>
    <t>91</t>
  </si>
  <si>
    <t>416091071RT1</t>
  </si>
  <si>
    <t>Příplatek za opláštění ostění střešního okna</t>
  </si>
  <si>
    <t>včetně dodávky materiálu</t>
  </si>
  <si>
    <t>Podkladní vrstvy komunikací, letišť a ploch</t>
  </si>
  <si>
    <t>92</t>
  </si>
  <si>
    <t>564851111R00</t>
  </si>
  <si>
    <t>Podklad ze štěrkodrti po zhutnění tloušťky 15 cm</t>
  </si>
  <si>
    <t>56_</t>
  </si>
  <si>
    <t>_5_</t>
  </si>
  <si>
    <t>42,98</t>
  </si>
  <si>
    <t>Kryty pozemních komunikací, letišť a ploch dlážděných (předlažby)</t>
  </si>
  <si>
    <t>93</t>
  </si>
  <si>
    <t>591111111R00</t>
  </si>
  <si>
    <t>Kladení dlažby zámkové,lože z kamen.tl. 5 cm</t>
  </si>
  <si>
    <t>59_</t>
  </si>
  <si>
    <t>94</t>
  </si>
  <si>
    <t>58380120.A</t>
  </si>
  <si>
    <t>Zámková dlažba tl. 6cm, přírodní</t>
  </si>
  <si>
    <t>;ztratné 10%; 4,298</t>
  </si>
  <si>
    <t>Úprava povrchů vnitřní</t>
  </si>
  <si>
    <t>95</t>
  </si>
  <si>
    <t>612421637R00</t>
  </si>
  <si>
    <t>Omítka vnitřní zdiva, MVC, štuková</t>
  </si>
  <si>
    <t>61_</t>
  </si>
  <si>
    <t>_6_</t>
  </si>
  <si>
    <t>7,97*3,25</t>
  </si>
  <si>
    <t>1.07</t>
  </si>
  <si>
    <t>10,29*0,9</t>
  </si>
  <si>
    <t>1.08</t>
  </si>
  <si>
    <t>14,75*0,9</t>
  </si>
  <si>
    <t>1.06</t>
  </si>
  <si>
    <t>12,68*3,25</t>
  </si>
  <si>
    <t>1.05</t>
  </si>
  <si>
    <t>8,64*0,9</t>
  </si>
  <si>
    <t>1.04</t>
  </si>
  <si>
    <t>10,74*3,25</t>
  </si>
  <si>
    <t>1.03</t>
  </si>
  <si>
    <t>7,19*0,9</t>
  </si>
  <si>
    <t>1.02</t>
  </si>
  <si>
    <t>8,71*3,25</t>
  </si>
  <si>
    <t>vstup</t>
  </si>
  <si>
    <t>29,52*3,25</t>
  </si>
  <si>
    <t>1.09</t>
  </si>
  <si>
    <t>-1*2,75</t>
  </si>
  <si>
    <t>-2,55*1,1</t>
  </si>
  <si>
    <t>-2,5*2,05</t>
  </si>
  <si>
    <t>-2,45*3</t>
  </si>
  <si>
    <t>-0,9*2,15*2</t>
  </si>
  <si>
    <t>8,9*3*2</t>
  </si>
  <si>
    <t>-1,45*2,15*2</t>
  </si>
  <si>
    <t>0,3*3</t>
  </si>
  <si>
    <t>96</t>
  </si>
  <si>
    <t>612421615R00</t>
  </si>
  <si>
    <t>Omítka vnitřní zdiva, MVC, hrubá zatřená</t>
  </si>
  <si>
    <t>10,29*2,35</t>
  </si>
  <si>
    <t>14,75*2,35</t>
  </si>
  <si>
    <t>8,64*2,35</t>
  </si>
  <si>
    <t>7,19*2,35</t>
  </si>
  <si>
    <t>97</t>
  </si>
  <si>
    <t>612425931R00</t>
  </si>
  <si>
    <t>Omítka vápenná vnitřního ostění - štuková</t>
  </si>
  <si>
    <t>61,655*0,2</t>
  </si>
  <si>
    <t>Úprava povrchů vnější</t>
  </si>
  <si>
    <t>98</t>
  </si>
  <si>
    <t>622311737R00</t>
  </si>
  <si>
    <t>Zateplovací systém, fasáda, minerální desky KV, tl. 200 mm</t>
  </si>
  <si>
    <t>62_</t>
  </si>
  <si>
    <t>včetně vrchní omítky, rohových lišt a kotev</t>
  </si>
  <si>
    <t>211-70,34</t>
  </si>
  <si>
    <t>-8,39</t>
  </si>
  <si>
    <t>-7,15</t>
  </si>
  <si>
    <t>-6,67</t>
  </si>
  <si>
    <t>-4,26</t>
  </si>
  <si>
    <t>-1,13*2</t>
  </si>
  <si>
    <t>99</t>
  </si>
  <si>
    <t>622311737RV1</t>
  </si>
  <si>
    <t>Zateplovací systém Baumit, fasáda, minerální desky KV, tl. 200 mm</t>
  </si>
  <si>
    <t>zakončený stěrkou s výztužnou tkaninou, rohových lišt a kotev</t>
  </si>
  <si>
    <t>70,34</t>
  </si>
  <si>
    <t>-11,275</t>
  </si>
  <si>
    <t>-11,69</t>
  </si>
  <si>
    <t>100</t>
  </si>
  <si>
    <t>622311035R00</t>
  </si>
  <si>
    <t>Zakládací sada ETICS, profil soklový + okapní profil, PVC, pro tl. izolantu 180-240 mm</t>
  </si>
  <si>
    <t>39,65</t>
  </si>
  <si>
    <t>Podlahy a podlahové konstrukce</t>
  </si>
  <si>
    <t>101</t>
  </si>
  <si>
    <t>632413160R00</t>
  </si>
  <si>
    <t>Potěr ze SMS, ruční zpracování, tl. 60 mm</t>
  </si>
  <si>
    <t>63_</t>
  </si>
  <si>
    <t>107,47</t>
  </si>
  <si>
    <t>52,56</t>
  </si>
  <si>
    <t>711</t>
  </si>
  <si>
    <t>Izolace proti vodě</t>
  </si>
  <si>
    <t>102</t>
  </si>
  <si>
    <t>711111001RZ1</t>
  </si>
  <si>
    <t>Provedení izolace proti vlhkosti na ploše vodorovné, 1x asfaltovým penetračním nátěrem</t>
  </si>
  <si>
    <t>711_</t>
  </si>
  <si>
    <t>_71_</t>
  </si>
  <si>
    <t>včetně dodávky asfaltového penetračního laku</t>
  </si>
  <si>
    <t>128,02</t>
  </si>
  <si>
    <t>103</t>
  </si>
  <si>
    <t>711141559RY2</t>
  </si>
  <si>
    <t>Provedení izolace proti vlhkosti na ploše vodorovné, asfaltovými pásy přitavením</t>
  </si>
  <si>
    <t>1 vrstva - včetně dod. Glastek 40 special mineral</t>
  </si>
  <si>
    <t>104</t>
  </si>
  <si>
    <t>998711101R00</t>
  </si>
  <si>
    <t>Přesun hmot pro izolace proti vodě, výšky do 6 m</t>
  </si>
  <si>
    <t>712</t>
  </si>
  <si>
    <t>Izolace střech (živičné krytiny)</t>
  </si>
  <si>
    <t>105</t>
  </si>
  <si>
    <t>712391171RZ5</t>
  </si>
  <si>
    <t>Položení podkladní textilie na střechách do 10°</t>
  </si>
  <si>
    <t>712_</t>
  </si>
  <si>
    <t>1 vrstva - včetně dodávky textilie</t>
  </si>
  <si>
    <t>6,1*6,6</t>
  </si>
  <si>
    <t>6,1*0,3*2</t>
  </si>
  <si>
    <t>106</t>
  </si>
  <si>
    <t>712371801RZ4</t>
  </si>
  <si>
    <t>Provedení povlakové krytiny střech do 10°, fólií PVC, položenou volně</t>
  </si>
  <si>
    <t>1 vrstva - včetně dodávky fólie tl. 1,5 mm</t>
  </si>
  <si>
    <t>107</t>
  </si>
  <si>
    <t>712378007R00</t>
  </si>
  <si>
    <t>Rohová lišta vnitřní VIPLANYL rš 100 mm</t>
  </si>
  <si>
    <t>6,1+6,1</t>
  </si>
  <si>
    <t>108</t>
  </si>
  <si>
    <t>998712101R00</t>
  </si>
  <si>
    <t>Přesun hmot pro povlakové krytiny, výšky do 6 m</t>
  </si>
  <si>
    <t>713</t>
  </si>
  <si>
    <t>Izolace tepelné</t>
  </si>
  <si>
    <t>109</t>
  </si>
  <si>
    <t>713131131R00</t>
  </si>
  <si>
    <t>Montáž tepelné izolace stěn lepením</t>
  </si>
  <si>
    <t>713_</t>
  </si>
  <si>
    <t>110</t>
  </si>
  <si>
    <t>283758939</t>
  </si>
  <si>
    <t>Deska izolační EPS 150, DEKPERIMETER SD tl. 150 mm, soklová</t>
  </si>
  <si>
    <t>;ztratné 5%; 3,86175</t>
  </si>
  <si>
    <t>111</t>
  </si>
  <si>
    <t>713121121RT1</t>
  </si>
  <si>
    <t>Montáž tepelné izolace podlah na sucho, dvouvrstvé</t>
  </si>
  <si>
    <t>materiál ve specifikaci</t>
  </si>
  <si>
    <t>112</t>
  </si>
  <si>
    <t>28375705</t>
  </si>
  <si>
    <t>Deska izolační EPS 150</t>
  </si>
  <si>
    <t>107,47*0,13</t>
  </si>
  <si>
    <t>;ztratné 5%; 0,698555</t>
  </si>
  <si>
    <t>113</t>
  </si>
  <si>
    <t>713111130RT2</t>
  </si>
  <si>
    <t>Montáž tepelné izolace krovů spodem, vložená mezi krokve</t>
  </si>
  <si>
    <t>2 vrstvy - materiál ve specifikaci</t>
  </si>
  <si>
    <t>5,55*6,6</t>
  </si>
  <si>
    <t>114</t>
  </si>
  <si>
    <t>63151413.A</t>
  </si>
  <si>
    <t>Deska z minerální plsti tl. 180 mm</t>
  </si>
  <si>
    <t>126,758</t>
  </si>
  <si>
    <t>;ztratné 5%; 6,3379</t>
  </si>
  <si>
    <t>115</t>
  </si>
  <si>
    <t>63151414.A</t>
  </si>
  <si>
    <t>Deska z minerální plsti tl. 200 mm</t>
  </si>
  <si>
    <t>116</t>
  </si>
  <si>
    <t>713111211RK4</t>
  </si>
  <si>
    <t>Montáž parozábrany, krovů spodem s přelepením spojů</t>
  </si>
  <si>
    <t>včetně materiálu</t>
  </si>
  <si>
    <t>117</t>
  </si>
  <si>
    <t>713121111RT1</t>
  </si>
  <si>
    <t>Montáž tepelné nebo kročejové izolace podlah na sucho, jednovrstvé</t>
  </si>
  <si>
    <t>118</t>
  </si>
  <si>
    <t>28376283</t>
  </si>
  <si>
    <t>Deska izolační EPS T,  tl. 30 mm, podlahová</t>
  </si>
  <si>
    <t>;ztratné 5%; 2,628</t>
  </si>
  <si>
    <t>119</t>
  </si>
  <si>
    <t>713135112RS1</t>
  </si>
  <si>
    <t>Montáž difúzní fólie na stěny, s přelepením spojů</t>
  </si>
  <si>
    <t>včetně dodávky fólie</t>
  </si>
  <si>
    <t>52,63</t>
  </si>
  <si>
    <t>120</t>
  </si>
  <si>
    <t>998713101R00</t>
  </si>
  <si>
    <t>Přesun hmot pro izolace tepelné, výšky do 6 m</t>
  </si>
  <si>
    <t>721</t>
  </si>
  <si>
    <t>Vnitřní kanalizace</t>
  </si>
  <si>
    <t>121</t>
  </si>
  <si>
    <t>721176222R00</t>
  </si>
  <si>
    <t>Potrubí KG svodné (ležaté) v zemi, D 110 x 3,2 mm</t>
  </si>
  <si>
    <t>721_</t>
  </si>
  <si>
    <t>_72_</t>
  </si>
  <si>
    <t>122</t>
  </si>
  <si>
    <t>721176223R00</t>
  </si>
  <si>
    <t>Potrubí KG svodné (ležaté) v zemi, D 125 x 3,2 mm</t>
  </si>
  <si>
    <t>123</t>
  </si>
  <si>
    <t>721176224R00</t>
  </si>
  <si>
    <t>Potrubí KG svodné (ležaté) v zemi, D 160 x 4,0 mm</t>
  </si>
  <si>
    <t>124</t>
  </si>
  <si>
    <t>721176115R00</t>
  </si>
  <si>
    <t>Potrubí HT odpadní svislé, D 110 x 2,7 mm</t>
  </si>
  <si>
    <t>odvětrání podloží</t>
  </si>
  <si>
    <t>125</t>
  </si>
  <si>
    <t>721176114R00</t>
  </si>
  <si>
    <t>Potrubí HT odpadní svislé, D 75 x 1,9 mm</t>
  </si>
  <si>
    <t>3*4</t>
  </si>
  <si>
    <t>126</t>
  </si>
  <si>
    <t>721242110RT2</t>
  </si>
  <si>
    <t>Lapač střešních splavenin PP HL600, kloub</t>
  </si>
  <si>
    <t>zápachová klapka, koš na listí, DN 125 mm</t>
  </si>
  <si>
    <t>127</t>
  </si>
  <si>
    <t>721273150RT1</t>
  </si>
  <si>
    <t>Hlavice ventilační přivětrávací HL900</t>
  </si>
  <si>
    <t>přivzdušňovací ventil HL900, D 50/75/110 mm</t>
  </si>
  <si>
    <t>128</t>
  </si>
  <si>
    <t>721273200RT3</t>
  </si>
  <si>
    <t>Souprava ventilační střešní HL</t>
  </si>
  <si>
    <t>souprava větrací hlavice PP HL810  D 110 mm</t>
  </si>
  <si>
    <t>129</t>
  </si>
  <si>
    <t>721176103R00</t>
  </si>
  <si>
    <t>Potrubí HT připojovací, D 50 x 1,8 mm</t>
  </si>
  <si>
    <t>130</t>
  </si>
  <si>
    <t>721176104R00</t>
  </si>
  <si>
    <t>Potrubí HT připojovací, D 75 x 1,9 mm</t>
  </si>
  <si>
    <t>4,16</t>
  </si>
  <si>
    <t>131</t>
  </si>
  <si>
    <t>721176105R00</t>
  </si>
  <si>
    <t>Potrubí HT připojovací, D 110 x 2,7 mm</t>
  </si>
  <si>
    <t>132</t>
  </si>
  <si>
    <t>721194105R00</t>
  </si>
  <si>
    <t>Vyvedení odpadních výpustek, D 50 x 1,8 mm</t>
  </si>
  <si>
    <t>133</t>
  </si>
  <si>
    <t>721194107R00</t>
  </si>
  <si>
    <t>Vyvedení odpadních výpustek, D 75 x 1,9 mm</t>
  </si>
  <si>
    <t>134</t>
  </si>
  <si>
    <t>721194109R00</t>
  </si>
  <si>
    <t>Vyvedení odpadních výpustek, D 110 x 2,3 mm</t>
  </si>
  <si>
    <t>135</t>
  </si>
  <si>
    <t>721290112R00</t>
  </si>
  <si>
    <t>Zkouška těsnosti kanalizace vodou DN 200 mm</t>
  </si>
  <si>
    <t>55,58</t>
  </si>
  <si>
    <t>136</t>
  </si>
  <si>
    <t>721177125R00</t>
  </si>
  <si>
    <t>Čisticí kus, D 110 mm</t>
  </si>
  <si>
    <t>137</t>
  </si>
  <si>
    <t>998721101R00</t>
  </si>
  <si>
    <t>Přesun hmot pro vnitřní kanalizaci, výšky do 6 m</t>
  </si>
  <si>
    <t>722</t>
  </si>
  <si>
    <t>Vnitřní vodovod</t>
  </si>
  <si>
    <t>138</t>
  </si>
  <si>
    <t>722172313R00</t>
  </si>
  <si>
    <t>Potrubí plastové PP-R, včetně zednických výpomocí, D 32 x 4,4 mm, PN 16</t>
  </si>
  <si>
    <t>722_</t>
  </si>
  <si>
    <t>vč.kotvení</t>
  </si>
  <si>
    <t>139</t>
  </si>
  <si>
    <t>722172312R00</t>
  </si>
  <si>
    <t>Potrubí plastové PP-R, včetně zednických výpomocí, D 25 x 3,5 mm, PN 16</t>
  </si>
  <si>
    <t xml:space="preserve">vč.kotvení
</t>
  </si>
  <si>
    <t>140</t>
  </si>
  <si>
    <t>722172311R00</t>
  </si>
  <si>
    <t>Potrubí plastové PP-R, včetně zednických výpomocí, D 20 x 2,8 mm, PN 16</t>
  </si>
  <si>
    <t>141</t>
  </si>
  <si>
    <t>722181212RZ6</t>
  </si>
  <si>
    <t>Izolace návleková tl. stěny 9 mm</t>
  </si>
  <si>
    <t>vnitřní průměr 20 mm</t>
  </si>
  <si>
    <t>142</t>
  </si>
  <si>
    <t>722181212RT8</t>
  </si>
  <si>
    <t>vnitřní průměr 25 mm</t>
  </si>
  <si>
    <t>143</t>
  </si>
  <si>
    <t>722181212RU1</t>
  </si>
  <si>
    <t>vnitřní průměr 32 mm</t>
  </si>
  <si>
    <t>144</t>
  </si>
  <si>
    <t>722181224RZ6</t>
  </si>
  <si>
    <t>Izolace návleková tl. stěny 20 mm</t>
  </si>
  <si>
    <t>145</t>
  </si>
  <si>
    <t>722202221R00</t>
  </si>
  <si>
    <t>Komplet nástěnný MZD PP-R, D 20 mm x R 1/2"</t>
  </si>
  <si>
    <t>146</t>
  </si>
  <si>
    <t>722290234R00</t>
  </si>
  <si>
    <t>Proplach a dezinfekce vodovodního potrubí DN 80 mm</t>
  </si>
  <si>
    <t>53,5</t>
  </si>
  <si>
    <t>147</t>
  </si>
  <si>
    <t>722235143R00</t>
  </si>
  <si>
    <t>Kohout vodovodní, kulový s vypouštěním, DN 25 mm</t>
  </si>
  <si>
    <t>148</t>
  </si>
  <si>
    <t>722235112R00</t>
  </si>
  <si>
    <t>Kohout vodovodní, kulový, DN 20 mm</t>
  </si>
  <si>
    <t>149</t>
  </si>
  <si>
    <t>722236622R00</t>
  </si>
  <si>
    <t>Klapka vodovodní, zpětná, DN 20 mm</t>
  </si>
  <si>
    <t>150</t>
  </si>
  <si>
    <t>722235111R00</t>
  </si>
  <si>
    <t>Kohout vodovodní, kulový, DN 15 mm</t>
  </si>
  <si>
    <t>151</t>
  </si>
  <si>
    <t>722231162R00</t>
  </si>
  <si>
    <t>Ventil vodovodní pojistný, G 3/4"</t>
  </si>
  <si>
    <t>152</t>
  </si>
  <si>
    <t>722239103R00</t>
  </si>
  <si>
    <t>Montáž vodovodních armatur</t>
  </si>
  <si>
    <t>153</t>
  </si>
  <si>
    <t>55102023</t>
  </si>
  <si>
    <t>Ventil směšovací termostatický</t>
  </si>
  <si>
    <t>154</t>
  </si>
  <si>
    <t>722229102R00</t>
  </si>
  <si>
    <t>Montáž vodovodních armatur,1závit</t>
  </si>
  <si>
    <t>155</t>
  </si>
  <si>
    <t>38833202</t>
  </si>
  <si>
    <t>Teploměr s jímkou</t>
  </si>
  <si>
    <t>156</t>
  </si>
  <si>
    <t>998722101R00</t>
  </si>
  <si>
    <t>Přesun hmot pro vnitřní vodovod, výšky do 6 m</t>
  </si>
  <si>
    <t>725</t>
  </si>
  <si>
    <t>Zařizovací předměty</t>
  </si>
  <si>
    <t>157</t>
  </si>
  <si>
    <t>725014161R00</t>
  </si>
  <si>
    <t>Klozet závěsný včetně sedátka, hl. 530 mm</t>
  </si>
  <si>
    <t>soubor</t>
  </si>
  <si>
    <t>725_</t>
  </si>
  <si>
    <t>158</t>
  </si>
  <si>
    <t>725017162R00</t>
  </si>
  <si>
    <t>Umyvadlo na šrouby, 550 x 450 mm, bílé</t>
  </si>
  <si>
    <t>159</t>
  </si>
  <si>
    <t>725019103R00</t>
  </si>
  <si>
    <t>Výlevka závěsná s plastovou mřížkou</t>
  </si>
  <si>
    <t>160</t>
  </si>
  <si>
    <t>725249102R00</t>
  </si>
  <si>
    <t>Montáž sprchových mís a vaniček</t>
  </si>
  <si>
    <t>161</t>
  </si>
  <si>
    <t>55423038.A</t>
  </si>
  <si>
    <t>Vanička sprchová 1000 x 1000, bílá</t>
  </si>
  <si>
    <t>162</t>
  </si>
  <si>
    <t>55423054.A</t>
  </si>
  <si>
    <t>Vanička sprchová 1300 x 1000, bílá</t>
  </si>
  <si>
    <t>163</t>
  </si>
  <si>
    <t>725249103R00</t>
  </si>
  <si>
    <t>Montáž sprchových koutů</t>
  </si>
  <si>
    <t>164</t>
  </si>
  <si>
    <t>55428113.A</t>
  </si>
  <si>
    <t>Zástěna sprchová pevná 1000 x 1850 mm, sklo</t>
  </si>
  <si>
    <t>165</t>
  </si>
  <si>
    <t>55428083.A</t>
  </si>
  <si>
    <t>Zástěna sprchová posuvné dveře 1300mm</t>
  </si>
  <si>
    <t>166</t>
  </si>
  <si>
    <t>725814101R00</t>
  </si>
  <si>
    <t>Ventil rohový s filtrem DN 15 mm x DN 10 mm</t>
  </si>
  <si>
    <t>167</t>
  </si>
  <si>
    <t>725814126R00</t>
  </si>
  <si>
    <t>Ventil pračkový DN 15 mm x DN 20 mm</t>
  </si>
  <si>
    <t>168</t>
  </si>
  <si>
    <t>725823121RT1</t>
  </si>
  <si>
    <t>Baterie umyvadlová stojánková  ruční, včetně otvírání odpadu</t>
  </si>
  <si>
    <t>standardní</t>
  </si>
  <si>
    <t>169</t>
  </si>
  <si>
    <t>725823114RT1</t>
  </si>
  <si>
    <t>Baterie dřezová stojánková ruční, bez otvírání odpadu</t>
  </si>
  <si>
    <t>170</t>
  </si>
  <si>
    <t>725845111RT1</t>
  </si>
  <si>
    <t>Baterie sprchová nástěnná ruční, bez příslušenství</t>
  </si>
  <si>
    <t>171</t>
  </si>
  <si>
    <t>725860180RT1</t>
  </si>
  <si>
    <t>Sifon pračkový HL400, D 40/50 mm nerezový</t>
  </si>
  <si>
    <t>podomítková uzávěrka, krycí deska nerez 160x110 mm</t>
  </si>
  <si>
    <t>172</t>
  </si>
  <si>
    <t>725860254R00</t>
  </si>
  <si>
    <t>Sifon umyvadlový oválný chromovaný Raf SV1413</t>
  </si>
  <si>
    <t>173</t>
  </si>
  <si>
    <t>725860227R00</t>
  </si>
  <si>
    <t>Sifon ke sprchové vaničce PP HL520, D 50 mm</t>
  </si>
  <si>
    <t>174</t>
  </si>
  <si>
    <t>725534112R00</t>
  </si>
  <si>
    <t>Ohřívač elektrický, zásobníkový, tlakový, 15l</t>
  </si>
  <si>
    <t>175</t>
  </si>
  <si>
    <t>725980121R00</t>
  </si>
  <si>
    <t>Dvířka z plastu, 150 x 150 mm</t>
  </si>
  <si>
    <t>176</t>
  </si>
  <si>
    <t>725534111R00</t>
  </si>
  <si>
    <t>Ohřívač elektrický, zásobníkový, 20l</t>
  </si>
  <si>
    <t>177</t>
  </si>
  <si>
    <t>998725101R00</t>
  </si>
  <si>
    <t>Přesun hmot pro zařizovací předměty, výšky do 6 m</t>
  </si>
  <si>
    <t>726</t>
  </si>
  <si>
    <t>Instalační prefabrikáty</t>
  </si>
  <si>
    <t>178</t>
  </si>
  <si>
    <t>726211121R00</t>
  </si>
  <si>
    <t>Modul pro WC Kombifix, UP320, h. 1080 mm</t>
  </si>
  <si>
    <t>726_</t>
  </si>
  <si>
    <t>179</t>
  </si>
  <si>
    <t>726211367R00</t>
  </si>
  <si>
    <t>Modul pro výlevku Duofix, h. 1300 mm</t>
  </si>
  <si>
    <t>180</t>
  </si>
  <si>
    <t>998726121R00</t>
  </si>
  <si>
    <t>Přesun hmot pro předstěnové systémy, výšky do 6 m</t>
  </si>
  <si>
    <t>728</t>
  </si>
  <si>
    <t>Vzduchotechnika</t>
  </si>
  <si>
    <t>181</t>
  </si>
  <si>
    <t>728112112RT2</t>
  </si>
  <si>
    <t>Montáž potrubí plechového kruhového do d 200 mm</t>
  </si>
  <si>
    <t>728_</t>
  </si>
  <si>
    <t>vč. dodávky potrubí pozinkovaného hladkého d 125 mm</t>
  </si>
  <si>
    <t>0,5</t>
  </si>
  <si>
    <t>182</t>
  </si>
  <si>
    <t>728614612R00</t>
  </si>
  <si>
    <t>Montáž ventilátoru axiálního nízkotlakového nástěnného do d 200 mm</t>
  </si>
  <si>
    <t>183</t>
  </si>
  <si>
    <t>429148020</t>
  </si>
  <si>
    <t>Ventilátor axiální</t>
  </si>
  <si>
    <t>184</t>
  </si>
  <si>
    <t>728314121R00</t>
  </si>
  <si>
    <t>Montáž protidešťové žaluzie kruhové do d 300 mm</t>
  </si>
  <si>
    <t>185</t>
  </si>
  <si>
    <t>4295330101</t>
  </si>
  <si>
    <t>Žaluzie protidešťová</t>
  </si>
  <si>
    <t>186</t>
  </si>
  <si>
    <t>3751011</t>
  </si>
  <si>
    <t>Detektor koncentrace CO2</t>
  </si>
  <si>
    <t>187</t>
  </si>
  <si>
    <t>222611151R00</t>
  </si>
  <si>
    <t>Montáž snímače plynů aktivního (CO, CO2, intenzita plynu, apod.)</t>
  </si>
  <si>
    <t>188</t>
  </si>
  <si>
    <t>998728101R00</t>
  </si>
  <si>
    <t>Přesun hmot pro vzduchotechniku, výšky do 6 m</t>
  </si>
  <si>
    <t>731</t>
  </si>
  <si>
    <t>Kotelny</t>
  </si>
  <si>
    <t>189</t>
  </si>
  <si>
    <t>731303221RT7</t>
  </si>
  <si>
    <t>Montáž tepelného čerpadla vzduch-voda typ split, topného výkonu do 20 kW</t>
  </si>
  <si>
    <t>731_</t>
  </si>
  <si>
    <t>_73_</t>
  </si>
  <si>
    <t>vč. dodávky čerpadla s dohřevem a zásobníkem TV</t>
  </si>
  <si>
    <t>190</t>
  </si>
  <si>
    <t>998731101R00</t>
  </si>
  <si>
    <t>Přesun hmot pro kotelny, výšky do 6 m</t>
  </si>
  <si>
    <t>732</t>
  </si>
  <si>
    <t>Strojovny</t>
  </si>
  <si>
    <t>191</t>
  </si>
  <si>
    <t>732421312R00</t>
  </si>
  <si>
    <t>Čerpadlo oběhové</t>
  </si>
  <si>
    <t>732_</t>
  </si>
  <si>
    <t>733</t>
  </si>
  <si>
    <t>Rozvod potrubí</t>
  </si>
  <si>
    <t>192</t>
  </si>
  <si>
    <t>733171115R00</t>
  </si>
  <si>
    <t>Potrubí polyetylénové 26 x 3 mm</t>
  </si>
  <si>
    <t>733_</t>
  </si>
  <si>
    <t>193</t>
  </si>
  <si>
    <t>733178115R00</t>
  </si>
  <si>
    <t>Potrubí plastové, DN25</t>
  </si>
  <si>
    <t>propojení venkovní a vnitřní jednotky</t>
  </si>
  <si>
    <t>194</t>
  </si>
  <si>
    <t>722181215RT8</t>
  </si>
  <si>
    <t>Izolace návleková tl. stěny 30 mm</t>
  </si>
  <si>
    <t>průměr 25 mm</t>
  </si>
  <si>
    <t>195</t>
  </si>
  <si>
    <t>722181214RT8</t>
  </si>
  <si>
    <t>průměr 26 mm</t>
  </si>
  <si>
    <t>196</t>
  </si>
  <si>
    <t>998733101R00</t>
  </si>
  <si>
    <t>Přesun hmot pro rozvody potrubí, výšky do 6 m</t>
  </si>
  <si>
    <t>734</t>
  </si>
  <si>
    <t>Armatury</t>
  </si>
  <si>
    <t>197</t>
  </si>
  <si>
    <t>734233112R00</t>
  </si>
  <si>
    <t>Kohout kulový, DN 20</t>
  </si>
  <si>
    <t>734_</t>
  </si>
  <si>
    <t>198</t>
  </si>
  <si>
    <t>734295212R00</t>
  </si>
  <si>
    <t>Filtr, magnetický DN 20</t>
  </si>
  <si>
    <t>199</t>
  </si>
  <si>
    <t>734245422R00</t>
  </si>
  <si>
    <t>Klapka zpětná, DN 20,top</t>
  </si>
  <si>
    <t>735</t>
  </si>
  <si>
    <t>Otopná tělesa</t>
  </si>
  <si>
    <t>200</t>
  </si>
  <si>
    <t>735171105R00</t>
  </si>
  <si>
    <t>Těleso trubkové, v. 900 mm, dl. 600 mm</t>
  </si>
  <si>
    <t>735_</t>
  </si>
  <si>
    <t>736</t>
  </si>
  <si>
    <t>Podlahové vytápění</t>
  </si>
  <si>
    <t>201</t>
  </si>
  <si>
    <t>736322315R00</t>
  </si>
  <si>
    <t>Polystyrenová izolační deska 50-2</t>
  </si>
  <si>
    <t>736_</t>
  </si>
  <si>
    <t>202</t>
  </si>
  <si>
    <t>736333116RT2</t>
  </si>
  <si>
    <t>Potrubí, D 18x2,0 mm, do desky</t>
  </si>
  <si>
    <t>rozteč 75 mm</t>
  </si>
  <si>
    <t>0,7*1,355</t>
  </si>
  <si>
    <t>2,03</t>
  </si>
  <si>
    <t>4,5</t>
  </si>
  <si>
    <t>7,46</t>
  </si>
  <si>
    <t>0,7*1,95</t>
  </si>
  <si>
    <t>0,7*4</t>
  </si>
  <si>
    <t>0,7*4,55</t>
  </si>
  <si>
    <t>203</t>
  </si>
  <si>
    <t>736333116RT3</t>
  </si>
  <si>
    <t>rozteč 100 mm</t>
  </si>
  <si>
    <t>42,70</t>
  </si>
  <si>
    <t>204</t>
  </si>
  <si>
    <t>736333116RT5</t>
  </si>
  <si>
    <t>rozteč 150 mm</t>
  </si>
  <si>
    <t>1,75*1,36</t>
  </si>
  <si>
    <t>1,89</t>
  </si>
  <si>
    <t>4,10</t>
  </si>
  <si>
    <t>2,40</t>
  </si>
  <si>
    <t>0,8*1,95</t>
  </si>
  <si>
    <t>205</t>
  </si>
  <si>
    <t>736336328R00</t>
  </si>
  <si>
    <t>Ses.rozd./sběrač, 9cest.bez skř.</t>
  </si>
  <si>
    <t>206</t>
  </si>
  <si>
    <t>736336813R00</t>
  </si>
  <si>
    <t>Skříň rozdělovače pod omítku</t>
  </si>
  <si>
    <t>207</t>
  </si>
  <si>
    <t>736336918R00</t>
  </si>
  <si>
    <t>Multi press-adaptér 18 x 2 mm</t>
  </si>
  <si>
    <t>208</t>
  </si>
  <si>
    <t>736336921R00</t>
  </si>
  <si>
    <t>Kohout kulový uzavírací DN 25</t>
  </si>
  <si>
    <t>209</t>
  </si>
  <si>
    <t>736336923R00</t>
  </si>
  <si>
    <t>Sada pro měřič tepla DN 25</t>
  </si>
  <si>
    <t>210</t>
  </si>
  <si>
    <t>736336926R00</t>
  </si>
  <si>
    <t>Mísicí sada</t>
  </si>
  <si>
    <t>211</t>
  </si>
  <si>
    <t>998736101R00</t>
  </si>
  <si>
    <t>Přesun hmot pro podlahové vytápění, výšky do 6 m</t>
  </si>
  <si>
    <t>762</t>
  </si>
  <si>
    <t>Konstrukce tesařské</t>
  </si>
  <si>
    <t>212</t>
  </si>
  <si>
    <t>762332120R00</t>
  </si>
  <si>
    <t>Montáž vázaných krovů pravidelných do 224 cm2</t>
  </si>
  <si>
    <t>762_</t>
  </si>
  <si>
    <t>_76_</t>
  </si>
  <si>
    <t>8,1+8,1+7,2+7,2+7,2+7,2</t>
  </si>
  <si>
    <t>160/120</t>
  </si>
  <si>
    <t>2,6*30</t>
  </si>
  <si>
    <t>80/160</t>
  </si>
  <si>
    <t>6,25*9</t>
  </si>
  <si>
    <t>120/180</t>
  </si>
  <si>
    <t>4,6*16*2</t>
  </si>
  <si>
    <t>213</t>
  </si>
  <si>
    <t>60515281</t>
  </si>
  <si>
    <t>Hranol stavební SM do 200 x 200 mm, 6 - 10 m</t>
  </si>
  <si>
    <t>6,26</t>
  </si>
  <si>
    <t>;ztratné 10%; 0,626</t>
  </si>
  <si>
    <t>214</t>
  </si>
  <si>
    <t>762332130R00</t>
  </si>
  <si>
    <t>Montáž vázaných krovů pravidelných do 288 cm2</t>
  </si>
  <si>
    <t>7,2+7,2+7,2</t>
  </si>
  <si>
    <t>160/160</t>
  </si>
  <si>
    <t>7,2</t>
  </si>
  <si>
    <t>160/180</t>
  </si>
  <si>
    <t>13,7</t>
  </si>
  <si>
    <t>140/180</t>
  </si>
  <si>
    <t>215</t>
  </si>
  <si>
    <t>6,968</t>
  </si>
  <si>
    <t>;ztratné 10%; 0,6968</t>
  </si>
  <si>
    <t>216</t>
  </si>
  <si>
    <t>762342206RT4</t>
  </si>
  <si>
    <t>Montáž kontralatí na vruty, s těsnicí páskou</t>
  </si>
  <si>
    <t>včetně dodávky latí 4/6 cm</t>
  </si>
  <si>
    <t>168,688</t>
  </si>
  <si>
    <t>-6,1*6,6</t>
  </si>
  <si>
    <t>217</t>
  </si>
  <si>
    <t>762342203RT4</t>
  </si>
  <si>
    <t>Montáž laťování střech, vzdálenost latí 22 - 36 cm</t>
  </si>
  <si>
    <t>včetně dodávky řeziva, latě 4/6 cm</t>
  </si>
  <si>
    <t>218</t>
  </si>
  <si>
    <t>998762102R00</t>
  </si>
  <si>
    <t>Přesun hmot pro tesařské konstrukce, výšky do 12 m</t>
  </si>
  <si>
    <t>763</t>
  </si>
  <si>
    <t>Dřevostavby</t>
  </si>
  <si>
    <t>219</t>
  </si>
  <si>
    <t>763611122R00</t>
  </si>
  <si>
    <t>Montáž bednění střech z desek do tl.18 mm,P+D, sponky</t>
  </si>
  <si>
    <t>763_</t>
  </si>
  <si>
    <t>4,7*14,4</t>
  </si>
  <si>
    <t>4,2*14,4</t>
  </si>
  <si>
    <t>220</t>
  </si>
  <si>
    <t>60726014.A</t>
  </si>
  <si>
    <t>Deska dřevoštěpková OSB 3, nebroušená 4PD tl. 18 mm</t>
  </si>
  <si>
    <t>162,588</t>
  </si>
  <si>
    <t>;ztratné 10%; 16,2588</t>
  </si>
  <si>
    <t>221</t>
  </si>
  <si>
    <t>998763101R00</t>
  </si>
  <si>
    <t>Přesun hmot pro dřevostavby, výšky do 12 m</t>
  </si>
  <si>
    <t>764</t>
  </si>
  <si>
    <t>Konstrukce klempířské</t>
  </si>
  <si>
    <t>222</t>
  </si>
  <si>
    <t>764929302R00</t>
  </si>
  <si>
    <t>Montáž oplechování zdí z lak. plechu, nad rš 330 mm</t>
  </si>
  <si>
    <t>764_</t>
  </si>
  <si>
    <t>5,8+5,8</t>
  </si>
  <si>
    <t>223</t>
  </si>
  <si>
    <t>13851088</t>
  </si>
  <si>
    <t>Plech svitkový tloušťka 0,6 mm</t>
  </si>
  <si>
    <t>7,32</t>
  </si>
  <si>
    <t>224</t>
  </si>
  <si>
    <t>764929502R00</t>
  </si>
  <si>
    <t>Montáž odpadní trouby z lak.plechu, kruhové do D100 mm</t>
  </si>
  <si>
    <t>225</t>
  </si>
  <si>
    <t>55351256.A</t>
  </si>
  <si>
    <t>Roura svodová, průměr 100 mm</t>
  </si>
  <si>
    <t>226</t>
  </si>
  <si>
    <t>764919511R00</t>
  </si>
  <si>
    <t>Montáž žlabů z lak.plech podokapní půlkruhové rš 250mm</t>
  </si>
  <si>
    <t>14,4+14,4</t>
  </si>
  <si>
    <t>227</t>
  </si>
  <si>
    <t>55351251.A</t>
  </si>
  <si>
    <t>Žlab podokapní půlkruhový, velikost 150 mm</t>
  </si>
  <si>
    <t>228</t>
  </si>
  <si>
    <t>55351266.A</t>
  </si>
  <si>
    <t>Hák žlabový s jazýčkem, velikost 150 mm</t>
  </si>
  <si>
    <t>229</t>
  </si>
  <si>
    <t>764919595R00</t>
  </si>
  <si>
    <t>Montáž kotlíku žlab.kónick.z lak.pl.pro půl.žl. rš 250</t>
  </si>
  <si>
    <t>230</t>
  </si>
  <si>
    <t>55351319.A</t>
  </si>
  <si>
    <t>Kotlík žlabový, velikost 150 mm</t>
  </si>
  <si>
    <t>231</t>
  </si>
  <si>
    <t>764919221R00</t>
  </si>
  <si>
    <t>Montáž oplech. okapů z lak. plechů na šikmé střeše a okapnice</t>
  </si>
  <si>
    <t>28,80</t>
  </si>
  <si>
    <t>232</t>
  </si>
  <si>
    <t>553507332</t>
  </si>
  <si>
    <t>Plech okapový a okapnice, délka 2000 mm</t>
  </si>
  <si>
    <t>233</t>
  </si>
  <si>
    <t>764927104R00</t>
  </si>
  <si>
    <t>Zhotovení (výroba) a montáž oplechování parapetů z lakovaného plechu včetně rohů rš 250 mm</t>
  </si>
  <si>
    <t>6,6+3,35+2,1</t>
  </si>
  <si>
    <t>234</t>
  </si>
  <si>
    <t>3,58</t>
  </si>
  <si>
    <t>235</t>
  </si>
  <si>
    <t>998764101R00</t>
  </si>
  <si>
    <t>Přesun hmot pro klempířské konstr., výšky do 6 m</t>
  </si>
  <si>
    <t>765</t>
  </si>
  <si>
    <t>Krytina tvrdá</t>
  </si>
  <si>
    <t>236</t>
  </si>
  <si>
    <t>765901109R00</t>
  </si>
  <si>
    <t>Fólie podstřešní paropropustná</t>
  </si>
  <si>
    <t>765_</t>
  </si>
  <si>
    <t>237</t>
  </si>
  <si>
    <t>765331221R00</t>
  </si>
  <si>
    <t>Krytina keramická, střechy ostatní</t>
  </si>
  <si>
    <t>4,8*14,4*2</t>
  </si>
  <si>
    <t>238</t>
  </si>
  <si>
    <t>765331261R00</t>
  </si>
  <si>
    <t>Zakončení štítových hran taškami s ozubem</t>
  </si>
  <si>
    <t>4,8*4</t>
  </si>
  <si>
    <t>239</t>
  </si>
  <si>
    <t>765331231R00</t>
  </si>
  <si>
    <t>Hřeben s větracím pásem</t>
  </si>
  <si>
    <t>14,40</t>
  </si>
  <si>
    <t>240</t>
  </si>
  <si>
    <t>765331514R00</t>
  </si>
  <si>
    <t>Okno střešní výstupní 64 x 64 cm</t>
  </si>
  <si>
    <t>241</t>
  </si>
  <si>
    <t>765331874R00</t>
  </si>
  <si>
    <t>Sněholam trubkový - 2x trubka nerezová d 25 mm</t>
  </si>
  <si>
    <t>29,40</t>
  </si>
  <si>
    <t>242</t>
  </si>
  <si>
    <t>765331633R00</t>
  </si>
  <si>
    <t>Taška drážková prostupová UH pro sanitu</t>
  </si>
  <si>
    <t>243</t>
  </si>
  <si>
    <t>765331663R00</t>
  </si>
  <si>
    <t>Větrací pás z PVC perforovaný</t>
  </si>
  <si>
    <t>244</t>
  </si>
  <si>
    <t>998765101R00</t>
  </si>
  <si>
    <t>Přesun hmot pro krytiny tvrdé, výšky do 6 m</t>
  </si>
  <si>
    <t>766</t>
  </si>
  <si>
    <t>Konstrukce truhlářské</t>
  </si>
  <si>
    <t>245</t>
  </si>
  <si>
    <t>766670011R00</t>
  </si>
  <si>
    <t>Montáž obložkové nebo rámové zárubně a křídla jednokřídlých dveří</t>
  </si>
  <si>
    <t>766_</t>
  </si>
  <si>
    <t>246</t>
  </si>
  <si>
    <t>61161802</t>
  </si>
  <si>
    <t>Dveře dřevěné interiérové 700 x 2100 mm L/P, dýha Standard, plné</t>
  </si>
  <si>
    <t>247</t>
  </si>
  <si>
    <t>61161803</t>
  </si>
  <si>
    <t>Dveře dřevěné interiérové 800 x 2100 mm L/P, dýha Standard, plné</t>
  </si>
  <si>
    <t>248</t>
  </si>
  <si>
    <t>611816005</t>
  </si>
  <si>
    <t>Zárubeň rámová 700 x 2100 mm L/P, dýha Standard</t>
  </si>
  <si>
    <t>249</t>
  </si>
  <si>
    <t>611816010</t>
  </si>
  <si>
    <t>Zárubeň rámová 800 x 1970 mm L/P, dýha Standard</t>
  </si>
  <si>
    <t>250</t>
  </si>
  <si>
    <t>766670013R00</t>
  </si>
  <si>
    <t>Montáž obložkové nebo rámové zárubně a křídla dvoukřídých dveří</t>
  </si>
  <si>
    <t>251</t>
  </si>
  <si>
    <t>61161806</t>
  </si>
  <si>
    <t>Dveře dřevěné interiérové 1250 x 1970 mm, dýha Standard, plné</t>
  </si>
  <si>
    <t>252</t>
  </si>
  <si>
    <t>611816025</t>
  </si>
  <si>
    <t>Zárubeň rámová 1250 x 1970 mm D, dýha Standard</t>
  </si>
  <si>
    <t>253</t>
  </si>
  <si>
    <t>766670021R00</t>
  </si>
  <si>
    <t>Montáž kliky a štítku</t>
  </si>
  <si>
    <t>9+1</t>
  </si>
  <si>
    <t>254</t>
  </si>
  <si>
    <t>54914630</t>
  </si>
  <si>
    <t>Kování dveřní</t>
  </si>
  <si>
    <t>255</t>
  </si>
  <si>
    <t>766624043R00</t>
  </si>
  <si>
    <t>Montáž střešních oken rozměr 78/140 - 160 cm</t>
  </si>
  <si>
    <t>256</t>
  </si>
  <si>
    <t>6114020413</t>
  </si>
  <si>
    <t>Okno střešní Integra GGU 006621 SK10 1140 x 1600 mm elektrické ovládání, kyvné, bílé bezúdržbové</t>
  </si>
  <si>
    <t>257</t>
  </si>
  <si>
    <t>766624047R00</t>
  </si>
  <si>
    <t>Montáž zateplovací sady pro střešní okna</t>
  </si>
  <si>
    <t>258</t>
  </si>
  <si>
    <t>611405913</t>
  </si>
  <si>
    <t>Sada zateplovací BDX 2000 SK10 1140 x 1600 mm</t>
  </si>
  <si>
    <t>259</t>
  </si>
  <si>
    <t>766624064R00</t>
  </si>
  <si>
    <t>Montáž zastiňujících rolet střešních oken</t>
  </si>
  <si>
    <t>260</t>
  </si>
  <si>
    <t>6114056091</t>
  </si>
  <si>
    <t>Roleta SK10 Standard</t>
  </si>
  <si>
    <t>261</t>
  </si>
  <si>
    <t>766441111R00</t>
  </si>
  <si>
    <t>Položení podlahy teras z prken, na podkladní rošt</t>
  </si>
  <si>
    <t>27,15</t>
  </si>
  <si>
    <t>262</t>
  </si>
  <si>
    <t>611981860</t>
  </si>
  <si>
    <t>Prkno terasové dřevěné Modřín 28 x 145 mm</t>
  </si>
  <si>
    <t>;ztratné 10%; 2,715</t>
  </si>
  <si>
    <t>263</t>
  </si>
  <si>
    <t>611981895</t>
  </si>
  <si>
    <t>Hranolek pod terasy Modřín 45 x 70 mm</t>
  </si>
  <si>
    <t>15*4</t>
  </si>
  <si>
    <t>264</t>
  </si>
  <si>
    <t>605100572</t>
  </si>
  <si>
    <t>Hranolek hoblovaný 50 x 80 mm, délka 3 m</t>
  </si>
  <si>
    <t>6,8*6</t>
  </si>
  <si>
    <t>;ztratné 10%; 4,08</t>
  </si>
  <si>
    <t>265</t>
  </si>
  <si>
    <t>766417111R00</t>
  </si>
  <si>
    <t>Podkladový rošt pod obložení stěn</t>
  </si>
  <si>
    <t>94,5</t>
  </si>
  <si>
    <t>266</t>
  </si>
  <si>
    <t>Hranolek  Modřín sibiřský 45 x 70 mm</t>
  </si>
  <si>
    <t>94,5+76</t>
  </si>
  <si>
    <t>;ztratné 5%; 8,525</t>
  </si>
  <si>
    <t>267</t>
  </si>
  <si>
    <t>766412123R00</t>
  </si>
  <si>
    <t>Obložení stěn fasády nad 1 m2 prkny MD</t>
  </si>
  <si>
    <t>75,6-11,28-11,69</t>
  </si>
  <si>
    <t>268</t>
  </si>
  <si>
    <t>611981861</t>
  </si>
  <si>
    <t>Prkno dřevěné Modřín Sibiřský 28 x 90 mm</t>
  </si>
  <si>
    <t>;ztratné 5%; 2,6315</t>
  </si>
  <si>
    <t>269</t>
  </si>
  <si>
    <t>998766101R00</t>
  </si>
  <si>
    <t>Přesun hmot pro truhlářské konstr., výšky do 6 m</t>
  </si>
  <si>
    <t>767</t>
  </si>
  <si>
    <t>Konstrukce doplňkové stavební (zámečnické)</t>
  </si>
  <si>
    <t>270</t>
  </si>
  <si>
    <t>767641021RT2</t>
  </si>
  <si>
    <t>Montáž vstupních hliníkových dveří s vypěněním</t>
  </si>
  <si>
    <t>767_</t>
  </si>
  <si>
    <t>na úchytky a hmoždinky</t>
  </si>
  <si>
    <t>1,55+1,55+2,75+2,75</t>
  </si>
  <si>
    <t>2,25+2,25+3+3</t>
  </si>
  <si>
    <t>271</t>
  </si>
  <si>
    <t>767711003R00</t>
  </si>
  <si>
    <t>Montáž hliníkových oken a balkonových dveří s vypěněním</t>
  </si>
  <si>
    <t>3,05+3,05+2,75+2,75</t>
  </si>
  <si>
    <t>6,5+6,5+1,1+1,1</t>
  </si>
  <si>
    <t>3,255+3,255+2,05+2,05</t>
  </si>
  <si>
    <t>4,25+4,25+2,75+2,75</t>
  </si>
  <si>
    <t>4,1+4,1+2,75+2,75</t>
  </si>
  <si>
    <t>(pi*0,6^2)*2</t>
  </si>
  <si>
    <t>272</t>
  </si>
  <si>
    <t>55389112</t>
  </si>
  <si>
    <t>Okno hliníkové</t>
  </si>
  <si>
    <t>3,05*2,75</t>
  </si>
  <si>
    <t>6,5*1,1</t>
  </si>
  <si>
    <t>3,255*2,05</t>
  </si>
  <si>
    <t>273</t>
  </si>
  <si>
    <t>55389111</t>
  </si>
  <si>
    <t>Okno hliníkové posuvné a vstupní dveře</t>
  </si>
  <si>
    <t>4,1*2,75</t>
  </si>
  <si>
    <t>4,25*2,75</t>
  </si>
  <si>
    <t>1,55*2,75</t>
  </si>
  <si>
    <t>2,25*3</t>
  </si>
  <si>
    <t>274</t>
  </si>
  <si>
    <t>767995105R00</t>
  </si>
  <si>
    <t>Výroba a montáž kov. atypických konstr. do 100 kg</t>
  </si>
  <si>
    <t>kg</t>
  </si>
  <si>
    <t>316,25</t>
  </si>
  <si>
    <t>13483315</t>
  </si>
  <si>
    <t>Tyč ocelová U 200, S235JR</t>
  </si>
  <si>
    <t>0,31625</t>
  </si>
  <si>
    <t>;ztratné 8%; 0,0253</t>
  </si>
  <si>
    <t>276</t>
  </si>
  <si>
    <t>767911130RT1</t>
  </si>
  <si>
    <t>Montáž oplocení z pletiva v.do 2,0 m,napínací drát</t>
  </si>
  <si>
    <t>vč. dodávky pletiva, napínacího drátu a napínáku</t>
  </si>
  <si>
    <t>67,35</t>
  </si>
  <si>
    <t>277</t>
  </si>
  <si>
    <t>998767101R00</t>
  </si>
  <si>
    <t>Přesun hmot pro zámečnické konstr., výšky do 6 m</t>
  </si>
  <si>
    <t>771</t>
  </si>
  <si>
    <t>Podlahy z dlaždic</t>
  </si>
  <si>
    <t>278</t>
  </si>
  <si>
    <t>771575113RT6</t>
  </si>
  <si>
    <t>Montáž podlah keram.,hladké, tmel, 30x60 cm</t>
  </si>
  <si>
    <t>771_</t>
  </si>
  <si>
    <t>_77_</t>
  </si>
  <si>
    <t>lepidlo, spár.hmota</t>
  </si>
  <si>
    <t>279</t>
  </si>
  <si>
    <t>597642060</t>
  </si>
  <si>
    <t>Dlažba matná 300 x 600 x 10 mm</t>
  </si>
  <si>
    <t>104,22</t>
  </si>
  <si>
    <t>;ztratné 5%; 5,211</t>
  </si>
  <si>
    <t>280</t>
  </si>
  <si>
    <t>771101210RT1</t>
  </si>
  <si>
    <t>Penetrace podkladu pod dlažby</t>
  </si>
  <si>
    <t>penetrační nátěr</t>
  </si>
  <si>
    <t>281</t>
  </si>
  <si>
    <t>771578011RT3</t>
  </si>
  <si>
    <t>Spára podlaha - stěna, silikonem</t>
  </si>
  <si>
    <t>Mapesil AC (fa Mapei)</t>
  </si>
  <si>
    <t>282</t>
  </si>
  <si>
    <t>771579793RT3</t>
  </si>
  <si>
    <t>Příplatek za spárovací hmotu - plošně,keram.dlažba</t>
  </si>
  <si>
    <t>283</t>
  </si>
  <si>
    <t>771475014RT2</t>
  </si>
  <si>
    <t>Obklad soklíků keram.rovných, tmel,výška 10 cm</t>
  </si>
  <si>
    <t>včetně lepidla</t>
  </si>
  <si>
    <t>40,1</t>
  </si>
  <si>
    <t>284</t>
  </si>
  <si>
    <t>59764241</t>
  </si>
  <si>
    <t>Dlažba matná sokl 300 x 80 x 9 mm</t>
  </si>
  <si>
    <t>;ztratné 5%; 6,7</t>
  </si>
  <si>
    <t>285</t>
  </si>
  <si>
    <t>998771101R00</t>
  </si>
  <si>
    <t>Přesun hmot pro podlahy z dlaždic, výšky do 6 m</t>
  </si>
  <si>
    <t>776</t>
  </si>
  <si>
    <t>Podlahy povlakové</t>
  </si>
  <si>
    <t>286</t>
  </si>
  <si>
    <t>776521200RV2</t>
  </si>
  <si>
    <t>Lepení povlakových podlah z dílců PVC a CV (vinyl)</t>
  </si>
  <si>
    <t>776_</t>
  </si>
  <si>
    <t>včetně vinylové podlahoviny tl. 2,5 mm</t>
  </si>
  <si>
    <t>55,81</t>
  </si>
  <si>
    <t>287</t>
  </si>
  <si>
    <t>776421100RU1</t>
  </si>
  <si>
    <t>Lepení podlahových soklíků z PVC a vinylu</t>
  </si>
  <si>
    <t>včetně dodávky soklíku PVC</t>
  </si>
  <si>
    <t>29,52-4,25-4,1</t>
  </si>
  <si>
    <t>288</t>
  </si>
  <si>
    <t>998776101R00</t>
  </si>
  <si>
    <t>Přesun hmot pro podlahy povlakové, výšky do 6 m</t>
  </si>
  <si>
    <t>781</t>
  </si>
  <si>
    <t>Obklady (keramické)</t>
  </si>
  <si>
    <t>289</t>
  </si>
  <si>
    <t>781101210RT1</t>
  </si>
  <si>
    <t>Penetrace podkladu pod obklady</t>
  </si>
  <si>
    <t>781_</t>
  </si>
  <si>
    <t>_78_</t>
  </si>
  <si>
    <t>14,94</t>
  </si>
  <si>
    <t>23,815</t>
  </si>
  <si>
    <t>15,33</t>
  </si>
  <si>
    <t>13,65</t>
  </si>
  <si>
    <t>290</t>
  </si>
  <si>
    <t>781475120RT6</t>
  </si>
  <si>
    <t>Obklad vnitřní stěn keramický, do tmele, do 300 x 600 mm</t>
  </si>
  <si>
    <t>291</t>
  </si>
  <si>
    <t>59761001</t>
  </si>
  <si>
    <t>Obkládačka 300 x 600 mm povrch hladký matný</t>
  </si>
  <si>
    <t>67,735</t>
  </si>
  <si>
    <t>;ztratné 10%; 6,7735</t>
  </si>
  <si>
    <t>292</t>
  </si>
  <si>
    <t>781479705RT3</t>
  </si>
  <si>
    <t>Přípl.za spárovací hmotu-plošně,keram.vnitř.obklad</t>
  </si>
  <si>
    <t>293</t>
  </si>
  <si>
    <t>781497132RS4</t>
  </si>
  <si>
    <t>Lišta nerezová rohová k obkladům</t>
  </si>
  <si>
    <t>pro tloušťku obkladu 10 mm</t>
  </si>
  <si>
    <t>2,1+2,1+4,7+2,1</t>
  </si>
  <si>
    <t>294</t>
  </si>
  <si>
    <t>998781101R00</t>
  </si>
  <si>
    <t>Přesun hmot pro obklady keramické, výšky do 6 m</t>
  </si>
  <si>
    <t>783</t>
  </si>
  <si>
    <t>Nátěry</t>
  </si>
  <si>
    <t>295</t>
  </si>
  <si>
    <t>783226100R00</t>
  </si>
  <si>
    <t>Nátěr syntetický kovových konstrukcí základní</t>
  </si>
  <si>
    <t>783_</t>
  </si>
  <si>
    <t>4,1</t>
  </si>
  <si>
    <t>17,52</t>
  </si>
  <si>
    <t>24,684</t>
  </si>
  <si>
    <t>20,16</t>
  </si>
  <si>
    <t>49,92</t>
  </si>
  <si>
    <t>20,74</t>
  </si>
  <si>
    <t>784</t>
  </si>
  <si>
    <t>Malby</t>
  </si>
  <si>
    <t>296</t>
  </si>
  <si>
    <t>784161401R00</t>
  </si>
  <si>
    <t>Penetrace podkladu nátěrem 1 x</t>
  </si>
  <si>
    <t>784_</t>
  </si>
  <si>
    <t>454</t>
  </si>
  <si>
    <t>297</t>
  </si>
  <si>
    <t>784165212R00</t>
  </si>
  <si>
    <t>Malba malba, bílá, bez penetrace, 2x</t>
  </si>
  <si>
    <t>Potrubí z trub plastických, skleněných a čedičových</t>
  </si>
  <si>
    <t>298</t>
  </si>
  <si>
    <t>871313121RU3</t>
  </si>
  <si>
    <t>Montáž trub kanaliz. z plastu, hrdlových, DN 150</t>
  </si>
  <si>
    <t>87_</t>
  </si>
  <si>
    <t>_8_</t>
  </si>
  <si>
    <t>včetně dodávky trub KG SN4 150x4,0x5000</t>
  </si>
  <si>
    <t>3,55</t>
  </si>
  <si>
    <t>splašková kanalizace</t>
  </si>
  <si>
    <t>299</t>
  </si>
  <si>
    <t>871161121R00</t>
  </si>
  <si>
    <t>Montáž trubek polyetylenových ve výkopu d 32 mm</t>
  </si>
  <si>
    <t>38+12</t>
  </si>
  <si>
    <t>300</t>
  </si>
  <si>
    <t>286136743</t>
  </si>
  <si>
    <t>Trubka vodovodní PE 100 RC, rozměr 32 x 3,0 mm, SDR 11</t>
  </si>
  <si>
    <t>301</t>
  </si>
  <si>
    <t>871812112R00</t>
  </si>
  <si>
    <t>Příplatek za položení signalizačního vodiče</t>
  </si>
  <si>
    <t>302</t>
  </si>
  <si>
    <t>34140883</t>
  </si>
  <si>
    <t>Vodič silový CY světle modrý 1,50 mm2 - drát</t>
  </si>
  <si>
    <t>Ostatní konstrukce a práce na trubním vedení</t>
  </si>
  <si>
    <t>303</t>
  </si>
  <si>
    <t>894432112R00</t>
  </si>
  <si>
    <t>Osazení plastové šachty revizní prům.425 mm</t>
  </si>
  <si>
    <t>89_</t>
  </si>
  <si>
    <t>304</t>
  </si>
  <si>
    <t>286971672</t>
  </si>
  <si>
    <t>Dno šachtové PP výkyvné 425 průtočné 0° KG 160 mm</t>
  </si>
  <si>
    <t>305</t>
  </si>
  <si>
    <t>286971491</t>
  </si>
  <si>
    <t>Roura šachtová PP korugovaná bez hrdla 400 x 2000 mm</t>
  </si>
  <si>
    <t>306</t>
  </si>
  <si>
    <t>28697144</t>
  </si>
  <si>
    <t>Poklop šachtový PP kruhový DN 425, pachotěsný s madlem</t>
  </si>
  <si>
    <t>307</t>
  </si>
  <si>
    <t>28697935</t>
  </si>
  <si>
    <t>Šachta filtrační pochozí DN 400, v. 600 - 1050 mm</t>
  </si>
  <si>
    <t>308</t>
  </si>
  <si>
    <t>894432111R00</t>
  </si>
  <si>
    <t>Osazení plastové šachty revizní prům.315 mm</t>
  </si>
  <si>
    <t>309</t>
  </si>
  <si>
    <t>28697143</t>
  </si>
  <si>
    <t>Poklop šachtový PP kruhový DN 315, pachotěsný s madlem</t>
  </si>
  <si>
    <t>310</t>
  </si>
  <si>
    <t>286971400</t>
  </si>
  <si>
    <t>Roura šachtová PP korugovaná bez hrdla 315 x 2000 mm</t>
  </si>
  <si>
    <t>311</t>
  </si>
  <si>
    <t>28697100</t>
  </si>
  <si>
    <t>Dno šachtové PP d 315 mm přímé DN/OD 110</t>
  </si>
  <si>
    <t>312</t>
  </si>
  <si>
    <t>899000001RA0</t>
  </si>
  <si>
    <t>Jímka odpadní, betonová</t>
  </si>
  <si>
    <t>m3 OP</t>
  </si>
  <si>
    <t>313</t>
  </si>
  <si>
    <t>893153121RT2</t>
  </si>
  <si>
    <t>Osazení šachty vodoměrné plastové samonosné kruhové vnějšího průměru do 1,0 m</t>
  </si>
  <si>
    <t>s dodávkou šachty D 1000 x 1200 mm z polypropylenu</t>
  </si>
  <si>
    <t>314</t>
  </si>
  <si>
    <t>55118026</t>
  </si>
  <si>
    <t>Souprava vodoměrná 32 x 1", kohout s vypouštěním a zpětnou klapkou</t>
  </si>
  <si>
    <t>Hodinové zúčtovací sazby (HZS)</t>
  </si>
  <si>
    <t>315</t>
  </si>
  <si>
    <t>905      R01</t>
  </si>
  <si>
    <t>Hzs-revize provoz.souboru a st.obj.</t>
  </si>
  <si>
    <t>h</t>
  </si>
  <si>
    <t>90_</t>
  </si>
  <si>
    <t>_9_</t>
  </si>
  <si>
    <t>Revize elektro</t>
  </si>
  <si>
    <t>316</t>
  </si>
  <si>
    <t>900      R00</t>
  </si>
  <si>
    <t>HZS</t>
  </si>
  <si>
    <t>stavební přípomoce ZTI</t>
  </si>
  <si>
    <t>stavební přípomoce ÚT</t>
  </si>
  <si>
    <t>317</t>
  </si>
  <si>
    <t>904      R02</t>
  </si>
  <si>
    <t>Hzs-zkousky v ramci montaz.praci</t>
  </si>
  <si>
    <t>Topná zkouška a regulace</t>
  </si>
  <si>
    <t>zaregulování topného systému</t>
  </si>
  <si>
    <t>topná zkouška</t>
  </si>
  <si>
    <t>Doplňující konstrukce a práce na pozemních komunikacích a zpevněných plochách</t>
  </si>
  <si>
    <t>318</t>
  </si>
  <si>
    <t>917931131RT2</t>
  </si>
  <si>
    <t>Osazení přídlažby,kostka velká,1 řada, lože C20/25</t>
  </si>
  <si>
    <t>91_</t>
  </si>
  <si>
    <t>včetně dodávky kamenných dlažebních kostek</t>
  </si>
  <si>
    <t>59,25</t>
  </si>
  <si>
    <t>319</t>
  </si>
  <si>
    <t>998223011R00</t>
  </si>
  <si>
    <t>Přesun hmot, pozemní komunikace, kryt dlážděný</t>
  </si>
  <si>
    <t>Lešení a stavební výtahy</t>
  </si>
  <si>
    <t>320</t>
  </si>
  <si>
    <t>941941031R00</t>
  </si>
  <si>
    <t>Montáž lešení lehkého řadového s podlahami, š. do 1 m, výšky do 10 m</t>
  </si>
  <si>
    <t>94_</t>
  </si>
  <si>
    <t>159,30</t>
  </si>
  <si>
    <t>321</t>
  </si>
  <si>
    <t>941941111R00</t>
  </si>
  <si>
    <t>Pronájem lešení za den</t>
  </si>
  <si>
    <t>159,3*60</t>
  </si>
  <si>
    <t>322</t>
  </si>
  <si>
    <t>941941831R00</t>
  </si>
  <si>
    <t>Demontáž lešení lehkého řadového s podlahami, š. do 1 m, výšky do 10 m</t>
  </si>
  <si>
    <t>159,3</t>
  </si>
  <si>
    <t>323</t>
  </si>
  <si>
    <t>941941502R00</t>
  </si>
  <si>
    <t>Doprava lešení pronaj-dovoz a odvoz sady do 250 m2</t>
  </si>
  <si>
    <t>km</t>
  </si>
  <si>
    <t>Různé dokončovací konstrukce a práce na pozemních stavbách</t>
  </si>
  <si>
    <t>324</t>
  </si>
  <si>
    <t>952901111R00</t>
  </si>
  <si>
    <t>Vyčištění budov o výšce podlaží do 4 m</t>
  </si>
  <si>
    <t>95_</t>
  </si>
  <si>
    <t>107,47+52,56</t>
  </si>
  <si>
    <t>325</t>
  </si>
  <si>
    <t>952901110R00</t>
  </si>
  <si>
    <t>Čištění mytím vnějších ploch oken a dveří</t>
  </si>
  <si>
    <t>H01</t>
  </si>
  <si>
    <t>Budovy občanské výstavby</t>
  </si>
  <si>
    <t>326</t>
  </si>
  <si>
    <t>998011001R00</t>
  </si>
  <si>
    <t>Přesun hmot pro budovy zděné výšky do 6 m</t>
  </si>
  <si>
    <t>H01_</t>
  </si>
  <si>
    <t>490,91376</t>
  </si>
  <si>
    <t>M21</t>
  </si>
  <si>
    <t>Elektromontáže</t>
  </si>
  <si>
    <t>327</t>
  </si>
  <si>
    <t>211190002R00</t>
  </si>
  <si>
    <t>Montáž elektroměrového rozvaděče</t>
  </si>
  <si>
    <t>M21_</t>
  </si>
  <si>
    <t>R</t>
  </si>
  <si>
    <t>RH</t>
  </si>
  <si>
    <t>328</t>
  </si>
  <si>
    <t>357116410</t>
  </si>
  <si>
    <t>Rozvaděč</t>
  </si>
  <si>
    <t>329</t>
  </si>
  <si>
    <t>210010301RT1</t>
  </si>
  <si>
    <t>Krabice přístrojová KP, bez zapojení, kruhová</t>
  </si>
  <si>
    <t>včetně dodávky KP 68/2</t>
  </si>
  <si>
    <t>330</t>
  </si>
  <si>
    <t>210010321RT1</t>
  </si>
  <si>
    <t>Krabice univerzální KU a odbočná KO se zapoj.,kruh</t>
  </si>
  <si>
    <t>vč.dodávky krabice KU 68-45/V se svorkovnicí</t>
  </si>
  <si>
    <t>331</t>
  </si>
  <si>
    <t>210010535RT5</t>
  </si>
  <si>
    <t>Zapojení vodiče do wago svorky</t>
  </si>
  <si>
    <t>včetně WAGO compact 5 /2273-205/</t>
  </si>
  <si>
    <t>332</t>
  </si>
  <si>
    <t>210010521R00</t>
  </si>
  <si>
    <t>Odvíč./zavíčkování krabic - víčko na závit</t>
  </si>
  <si>
    <t>333</t>
  </si>
  <si>
    <t>210220201R00</t>
  </si>
  <si>
    <t>Tyč jímací s upev. na stř.hřeben do 3 m dl.tyče</t>
  </si>
  <si>
    <t>334</t>
  </si>
  <si>
    <t>35441860</t>
  </si>
  <si>
    <t>Svorka SJ 1 k jímací tyči</t>
  </si>
  <si>
    <t>335</t>
  </si>
  <si>
    <t>35441221</t>
  </si>
  <si>
    <t>Držák jímače a ochranné trubky</t>
  </si>
  <si>
    <t>336</t>
  </si>
  <si>
    <t>35441040</t>
  </si>
  <si>
    <t>Tyč jímací JR 2,0 bez osazení, l = 2000 mm</t>
  </si>
  <si>
    <t>337</t>
  </si>
  <si>
    <t>35441885</t>
  </si>
  <si>
    <t>Svorka spojovací SS pro lano d 8 - 10 mm</t>
  </si>
  <si>
    <t>338</t>
  </si>
  <si>
    <t>210220021RT1</t>
  </si>
  <si>
    <t>Vedení uzemňovací v zemi FeZn do 120 mm2 vč.svorek</t>
  </si>
  <si>
    <t>včetně pásku FeZn 30 x 4 mm</t>
  </si>
  <si>
    <t>339</t>
  </si>
  <si>
    <t>210220301RT2</t>
  </si>
  <si>
    <t>Svorka hromosvodová do 2 šroubů /SS, SZ, SO/</t>
  </si>
  <si>
    <t>včetně dodávky svorky SS</t>
  </si>
  <si>
    <t>340</t>
  </si>
  <si>
    <t>210220302RT3</t>
  </si>
  <si>
    <t>Svorka hromosvodová nad 2 šrouby /ST, SJ, SR, atd/</t>
  </si>
  <si>
    <t>včetně dodávky svorky SK pro vodič d 6-10 mm</t>
  </si>
  <si>
    <t>341</t>
  </si>
  <si>
    <t>210220301RT1</t>
  </si>
  <si>
    <t>včetně dodávky svorky SO</t>
  </si>
  <si>
    <t>342</t>
  </si>
  <si>
    <t>210220301RT3</t>
  </si>
  <si>
    <t>včetně dodávky svorky SZ</t>
  </si>
  <si>
    <t>343</t>
  </si>
  <si>
    <t>210220002RT1</t>
  </si>
  <si>
    <t>Vedení uzemňovací FeZn D 10 mm</t>
  </si>
  <si>
    <t>včetně drátu FeZn 8 mm + svorky</t>
  </si>
  <si>
    <t>344</t>
  </si>
  <si>
    <t>210220002RT2</t>
  </si>
  <si>
    <t>Vedení uzemňovací na FeZn D 10 mm</t>
  </si>
  <si>
    <t>včetně drátu FeZn 10 mm + svorky</t>
  </si>
  <si>
    <t>345</t>
  </si>
  <si>
    <t>210010121R00</t>
  </si>
  <si>
    <t>Trubka ochranná hormosvod</t>
  </si>
  <si>
    <t>M22</t>
  </si>
  <si>
    <t>Montáže sdělovací a zabezpečovací techniky</t>
  </si>
  <si>
    <t>346</t>
  </si>
  <si>
    <t>220260551R00</t>
  </si>
  <si>
    <t>Trubka PVC pod omítku, vnější průměr 20 mm</t>
  </si>
  <si>
    <t>M22_</t>
  </si>
  <si>
    <t>347</t>
  </si>
  <si>
    <t>222290003R00</t>
  </si>
  <si>
    <t>Dvojzásuvka 2xRJ45 UTP kat.5e pod omítku</t>
  </si>
  <si>
    <t>348</t>
  </si>
  <si>
    <t>371202013</t>
  </si>
  <si>
    <t>Zásuvka datová 2xRJ45</t>
  </si>
  <si>
    <t>349</t>
  </si>
  <si>
    <t>222280214R00</t>
  </si>
  <si>
    <t>Kabel UTP/FTP kat.6e v trubkách</t>
  </si>
  <si>
    <t>350</t>
  </si>
  <si>
    <t>371201303</t>
  </si>
  <si>
    <t>Kabel UTP dvojitý plášť Cat6e</t>
  </si>
  <si>
    <t>351</t>
  </si>
  <si>
    <t>222290802R00</t>
  </si>
  <si>
    <t>Sdělovací šňůra stíněná do 4x0,5 v trubce</t>
  </si>
  <si>
    <t>15+25+40</t>
  </si>
  <si>
    <t>352</t>
  </si>
  <si>
    <t>371201305</t>
  </si>
  <si>
    <t>Kabel UTP, Cat6, drát</t>
  </si>
  <si>
    <t>353</t>
  </si>
  <si>
    <t>Kabel UTP Cat5e</t>
  </si>
  <si>
    <t>354</t>
  </si>
  <si>
    <t>371201305IM</t>
  </si>
  <si>
    <t>Kabel SXKD 6 utp pe</t>
  </si>
  <si>
    <t>M46</t>
  </si>
  <si>
    <t>Zemní práce při montážích</t>
  </si>
  <si>
    <t>355</t>
  </si>
  <si>
    <t>460200263R00</t>
  </si>
  <si>
    <t>Výkop kabelové rýhy 50/80 cm  hor.3</t>
  </si>
  <si>
    <t>M46_</t>
  </si>
  <si>
    <t>přípojka</t>
  </si>
  <si>
    <t>356</t>
  </si>
  <si>
    <t>460420022RT3</t>
  </si>
  <si>
    <t>Zřízení kabelového lože v rýze š. do 65 cm z písku</t>
  </si>
  <si>
    <t>lože tloušťky 20 cm</t>
  </si>
  <si>
    <t>357</t>
  </si>
  <si>
    <t>460570263R00</t>
  </si>
  <si>
    <t>Zához rýhy 50/80 cm, hornina třídy 3, se zhutněním</t>
  </si>
  <si>
    <t>M65</t>
  </si>
  <si>
    <t>Elektroinstalace</t>
  </si>
  <si>
    <t>358</t>
  </si>
  <si>
    <t>650125721RT2</t>
  </si>
  <si>
    <t>Uložení kabelu Cu 4 x 16 mm2 volně</t>
  </si>
  <si>
    <t>M65_</t>
  </si>
  <si>
    <t>včetně dodávky kabelu CYKY 4 x 16 mm2</t>
  </si>
  <si>
    <t>359</t>
  </si>
  <si>
    <t>650051311RT4</t>
  </si>
  <si>
    <t>Montáž spínače zapuštěného, řaz. 1</t>
  </si>
  <si>
    <t>vč. dodávky strojku, krytu a rámečku</t>
  </si>
  <si>
    <t>360</t>
  </si>
  <si>
    <t>650051341RT4</t>
  </si>
  <si>
    <t>Montáž spínače zapuštěného, řaz. 6</t>
  </si>
  <si>
    <t>361</t>
  </si>
  <si>
    <t>650051361RT4</t>
  </si>
  <si>
    <t>Montáž spínače zapuštěného, řaz. 7</t>
  </si>
  <si>
    <t>362</t>
  </si>
  <si>
    <t>650052712RT2</t>
  </si>
  <si>
    <t>Montáž zásuvky zapuštěné 2x(2P+PE)</t>
  </si>
  <si>
    <t>včetně dodávky kompletní zásuvky</t>
  </si>
  <si>
    <t>363</t>
  </si>
  <si>
    <t>650052711RT3</t>
  </si>
  <si>
    <t>Montáž zásuvky zapuštěné 2P+PE</t>
  </si>
  <si>
    <t>včetně dodávky zásuvky a rámečku</t>
  </si>
  <si>
    <t>3+4</t>
  </si>
  <si>
    <t>364</t>
  </si>
  <si>
    <t>34551476.A</t>
  </si>
  <si>
    <t>Zásuvka jednonásobná s víčkem, IP44</t>
  </si>
  <si>
    <t>365</t>
  </si>
  <si>
    <t>650031625R00</t>
  </si>
  <si>
    <t>Montáž rozváděče do váhy 100 kg</t>
  </si>
  <si>
    <t>366</t>
  </si>
  <si>
    <t>357311075</t>
  </si>
  <si>
    <t>Rozvaděč nástěnnný, dvoudílný</t>
  </si>
  <si>
    <t>367</t>
  </si>
  <si>
    <t>650053161R00</t>
  </si>
  <si>
    <t>Montáž vidlice průmyslové IP44 5P+N+PE 16 A</t>
  </si>
  <si>
    <t>368</t>
  </si>
  <si>
    <t>358112503</t>
  </si>
  <si>
    <t>Zásuvka nástěnná 16 A 400 V 5-pólová</t>
  </si>
  <si>
    <t>369</t>
  </si>
  <si>
    <t>650101521R00</t>
  </si>
  <si>
    <t>Montáž LED svítidla stropního přisazeného</t>
  </si>
  <si>
    <t>370</t>
  </si>
  <si>
    <t>3481410803</t>
  </si>
  <si>
    <t>Svítidlo interiérové stropní</t>
  </si>
  <si>
    <t>371</t>
  </si>
  <si>
    <t>650101571R00</t>
  </si>
  <si>
    <t>Montáž LED svítidla nástěnného přisazeného</t>
  </si>
  <si>
    <t>372</t>
  </si>
  <si>
    <t>348360102</t>
  </si>
  <si>
    <t>Svítidlo nástěnné, interiér - exteriér</t>
  </si>
  <si>
    <t>373</t>
  </si>
  <si>
    <t>650124643RT2</t>
  </si>
  <si>
    <t>Uložení kabelu Cu 3 x 2,5 mm2 pod omítku</t>
  </si>
  <si>
    <t>včetně dodávky kabelu CYKY 3 x 2,5 mm2</t>
  </si>
  <si>
    <t>680</t>
  </si>
  <si>
    <t>374</t>
  </si>
  <si>
    <t>650124641RT2</t>
  </si>
  <si>
    <t>Uložení kabelu Cu 3 x 1,5 mm2 pod omítku</t>
  </si>
  <si>
    <t>včetně dodávky kabelu CYKY 3 x 1,5 mm2</t>
  </si>
  <si>
    <t>520</t>
  </si>
  <si>
    <t>375</t>
  </si>
  <si>
    <t>141      R00</t>
  </si>
  <si>
    <t>Přirážka za podružný materiál  M 21, M 22</t>
  </si>
  <si>
    <t>376</t>
  </si>
  <si>
    <t>650124701RT2</t>
  </si>
  <si>
    <t>Uložení kabelu Cu 5 x 1,5 mm2 pod omítku</t>
  </si>
  <si>
    <t>včetně dodávky kabelu CYKY 5 x 1,5 mm2</t>
  </si>
  <si>
    <t>377</t>
  </si>
  <si>
    <t>650124703RT2</t>
  </si>
  <si>
    <t>Uložení kabelu Cu 5 x 2,5 mm2 pod omítku</t>
  </si>
  <si>
    <t>včetně dodávky kabelu CYKY 5 x 2,5 mm2</t>
  </si>
  <si>
    <t>378</t>
  </si>
  <si>
    <t>650124705RT2</t>
  </si>
  <si>
    <t>Uložení kabelu Cu 5 x 4 mm2 pod omítku</t>
  </si>
  <si>
    <t>včetně dodávky kabelu CYKY 5 x 4 mm2</t>
  </si>
  <si>
    <t>379</t>
  </si>
  <si>
    <t>650124711R00</t>
  </si>
  <si>
    <t>Uložení kabelu Cu 5 x 16 mm2</t>
  </si>
  <si>
    <t>380</t>
  </si>
  <si>
    <t>34111102</t>
  </si>
  <si>
    <t>Kabel silový CYKY 5 x 16 mm2</t>
  </si>
  <si>
    <t>381</t>
  </si>
  <si>
    <t>650072611R00</t>
  </si>
  <si>
    <t>Montáž čidla pohybu nástěnného přisazeného</t>
  </si>
  <si>
    <t>382</t>
  </si>
  <si>
    <t>34531505</t>
  </si>
  <si>
    <t>Čidlo pohybu nástěnné bílé</t>
  </si>
  <si>
    <t>M65001</t>
  </si>
  <si>
    <t>Vedení elektroinstalační</t>
  </si>
  <si>
    <t>383</t>
  </si>
  <si>
    <t>650000004VD</t>
  </si>
  <si>
    <t>D+M fotvoltaické elektrárny 3-fázová, 10kW elektrárna 5kWp</t>
  </si>
  <si>
    <t>M65001_</t>
  </si>
  <si>
    <t>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</si>
</sst>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i/>
      <sz val="8"/>
      <color rgb="FF000000"/>
      <name val="Arial"/>
      <charset val="238"/>
    </font>
    <font>
      <i/>
      <sz val="10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4" fontId="8" fillId="0" borderId="16" xfId="0" applyNumberFormat="1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7" fillId="0" borderId="19" xfId="0" applyFont="1" applyBorder="1" applyAlignment="1">
      <alignment horizontal="left" vertical="center"/>
    </xf>
    <xf numFmtId="4" fontId="8" fillId="0" borderId="23" xfId="0" applyNumberFormat="1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26" xfId="0" applyNumberFormat="1" applyFont="1" applyBorder="1" applyAlignment="1">
      <alignment horizontal="right" vertical="center"/>
    </xf>
    <xf numFmtId="4" fontId="7" fillId="2" borderId="13" xfId="0" applyNumberFormat="1" applyFont="1" applyFill="1" applyBorder="1" applyAlignment="1">
      <alignment horizontal="right" vertical="center"/>
    </xf>
    <xf numFmtId="4" fontId="7" fillId="2" borderId="18" xfId="0" applyNumberFormat="1" applyFont="1" applyFill="1" applyBorder="1" applyAlignment="1">
      <alignment horizontal="right" vertical="center"/>
    </xf>
    <xf numFmtId="0" fontId="9" fillId="0" borderId="40" xfId="0" applyFont="1" applyBorder="1" applyAlignment="1">
      <alignment horizontal="left" vertical="center"/>
    </xf>
    <xf numFmtId="0" fontId="3" fillId="0" borderId="45" xfId="0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left" vertical="center"/>
    </xf>
    <xf numFmtId="4" fontId="2" fillId="0" borderId="49" xfId="0" applyNumberFormat="1" applyFont="1" applyBorder="1" applyAlignment="1">
      <alignment horizontal="right" vertical="center"/>
    </xf>
    <xf numFmtId="0" fontId="2" fillId="0" borderId="49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53" xfId="0" applyFont="1" applyBorder="1" applyAlignment="1">
      <alignment horizontal="right" vertical="center"/>
    </xf>
    <xf numFmtId="4" fontId="3" fillId="0" borderId="53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8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3" xfId="0" applyFont="1" applyBorder="1" applyAlignment="1">
      <alignment horizontal="left" vertical="center"/>
    </xf>
    <xf numFmtId="0" fontId="2" fillId="0" borderId="64" xfId="0" applyFont="1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2" fillId="2" borderId="71" xfId="0" applyFont="1" applyFill="1" applyBorder="1" applyAlignment="1">
      <alignment horizontal="left" vertical="center"/>
    </xf>
    <xf numFmtId="0" fontId="3" fillId="2" borderId="40" xfId="0" applyFont="1" applyFill="1" applyBorder="1" applyAlignment="1">
      <alignment horizontal="left" vertical="center"/>
    </xf>
    <xf numFmtId="0" fontId="2" fillId="2" borderId="40" xfId="0" applyFont="1" applyFill="1" applyBorder="1" applyAlignment="1">
      <alignment horizontal="left" vertical="center"/>
    </xf>
    <xf numFmtId="4" fontId="3" fillId="2" borderId="40" xfId="0" applyNumberFormat="1" applyFont="1" applyFill="1" applyBorder="1" applyAlignment="1">
      <alignment horizontal="right" vertical="center"/>
    </xf>
    <xf numFmtId="0" fontId="3" fillId="2" borderId="72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6" xfId="0" applyFont="1" applyFill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5" xfId="0" applyBorder="1"/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horizontal="right" vertical="center"/>
    </xf>
    <xf numFmtId="0" fontId="0" fillId="0" borderId="6" xfId="0" applyBorder="1"/>
    <xf numFmtId="0" fontId="10" fillId="0" borderId="0" xfId="0" applyFont="1" applyAlignment="1">
      <alignment horizontal="right" vertical="center"/>
    </xf>
    <xf numFmtId="0" fontId="0" fillId="0" borderId="7" xfId="0" applyBorder="1"/>
    <xf numFmtId="0" fontId="0" fillId="0" borderId="8" xfId="0" applyBorder="1"/>
    <xf numFmtId="0" fontId="10" fillId="0" borderId="8" xfId="0" applyFont="1" applyBorder="1" applyAlignment="1">
      <alignment horizontal="left" vertical="center"/>
    </xf>
    <xf numFmtId="4" fontId="10" fillId="0" borderId="8" xfId="0" applyNumberFormat="1" applyFont="1" applyBorder="1" applyAlignment="1">
      <alignment horizontal="right" vertical="center"/>
    </xf>
    <xf numFmtId="0" fontId="0" fillId="0" borderId="9" xfId="0" applyBorder="1"/>
    <xf numFmtId="4" fontId="3" fillId="0" borderId="73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0" fontId="7" fillId="2" borderId="27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28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7" xfId="0" applyFont="1" applyFill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7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0" borderId="48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4" fontId="7" fillId="0" borderId="54" xfId="0" applyNumberFormat="1" applyFont="1" applyBorder="1" applyAlignment="1">
      <alignment horizontal="right" vertical="center"/>
    </xf>
    <xf numFmtId="0" fontId="7" fillId="0" borderId="51" xfId="0" applyFont="1" applyBorder="1" applyAlignment="1">
      <alignment horizontal="right" vertical="center"/>
    </xf>
    <xf numFmtId="0" fontId="7" fillId="0" borderId="52" xfId="0" applyFont="1" applyBorder="1" applyAlignment="1">
      <alignment horizontal="right" vertical="center"/>
    </xf>
    <xf numFmtId="0" fontId="2" fillId="0" borderId="55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56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66" xfId="0" applyFont="1" applyBorder="1" applyAlignment="1">
      <alignment horizontal="left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2" borderId="40" xfId="0" applyFont="1" applyFill="1" applyBorder="1" applyAlignment="1">
      <alignment horizontal="left" vertical="center" wrapText="1"/>
    </xf>
    <xf numFmtId="0" fontId="3" fillId="2" borderId="40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tabSelected="1" workbookViewId="0">
      <selection activeCell="I10" sqref="I10:I11"/>
    </sheetView>
  </sheetViews>
  <sheetFormatPr defaultColWidth="12.109375" defaultRowHeight="15" customHeight="1" x14ac:dyDescent="0.3"/>
  <cols>
    <col min="1" max="1" width="9.109375" customWidth="1"/>
    <col min="2" max="2" width="12.88671875" customWidth="1"/>
    <col min="3" max="3" width="27.109375" customWidth="1"/>
    <col min="4" max="4" width="10" customWidth="1"/>
    <col min="5" max="5" width="14" customWidth="1"/>
    <col min="6" max="6" width="27.109375" customWidth="1"/>
    <col min="7" max="7" width="9.109375" customWidth="1"/>
    <col min="8" max="8" width="12.88671875" customWidth="1"/>
    <col min="9" max="9" width="27.109375" customWidth="1"/>
  </cols>
  <sheetData>
    <row r="1" spans="1:9" ht="54.75" customHeight="1" x14ac:dyDescent="0.3">
      <c r="A1" s="65" t="s">
        <v>0</v>
      </c>
      <c r="B1" s="66"/>
      <c r="C1" s="66"/>
      <c r="D1" s="66"/>
      <c r="E1" s="66"/>
      <c r="F1" s="66"/>
      <c r="G1" s="66"/>
      <c r="H1" s="66"/>
      <c r="I1" s="66"/>
    </row>
    <row r="2" spans="1:9" ht="14.4" x14ac:dyDescent="0.3">
      <c r="A2" s="67" t="s">
        <v>1</v>
      </c>
      <c r="B2" s="68"/>
      <c r="C2" s="76" t="str">
        <f>'Stavební rozpočet'!C2</f>
        <v>Objekt pro dětskou skupinu</v>
      </c>
      <c r="D2" s="77"/>
      <c r="E2" s="74" t="s">
        <v>2</v>
      </c>
      <c r="F2" s="74" t="str">
        <f>'Stavební rozpočet'!I2</f>
        <v>Obec Hořice</v>
      </c>
      <c r="G2" s="68"/>
      <c r="H2" s="74" t="s">
        <v>3</v>
      </c>
      <c r="I2" s="79" t="s">
        <v>4</v>
      </c>
    </row>
    <row r="3" spans="1:9" ht="15" customHeight="1" x14ac:dyDescent="0.3">
      <c r="A3" s="69"/>
      <c r="B3" s="70"/>
      <c r="C3" s="78"/>
      <c r="D3" s="78"/>
      <c r="E3" s="70"/>
      <c r="F3" s="70"/>
      <c r="G3" s="70"/>
      <c r="H3" s="70"/>
      <c r="I3" s="80"/>
    </row>
    <row r="4" spans="1:9" ht="14.4" x14ac:dyDescent="0.3">
      <c r="A4" s="71" t="s">
        <v>5</v>
      </c>
      <c r="B4" s="70"/>
      <c r="C4" s="75" t="str">
        <f>'Stavební rozpočet'!C4</f>
        <v>novostavba</v>
      </c>
      <c r="D4" s="70"/>
      <c r="E4" s="75" t="s">
        <v>6</v>
      </c>
      <c r="F4" s="75" t="str">
        <f>'Stavební rozpočet'!I4</f>
        <v>ARCHIN s.r.o.</v>
      </c>
      <c r="G4" s="70"/>
      <c r="H4" s="75" t="s">
        <v>3</v>
      </c>
      <c r="I4" s="80" t="s">
        <v>7</v>
      </c>
    </row>
    <row r="5" spans="1:9" ht="15" customHeight="1" x14ac:dyDescent="0.3">
      <c r="A5" s="69"/>
      <c r="B5" s="70"/>
      <c r="C5" s="70"/>
      <c r="D5" s="70"/>
      <c r="E5" s="70"/>
      <c r="F5" s="70"/>
      <c r="G5" s="70"/>
      <c r="H5" s="70"/>
      <c r="I5" s="80"/>
    </row>
    <row r="6" spans="1:9" ht="14.4" x14ac:dyDescent="0.3">
      <c r="A6" s="71" t="s">
        <v>8</v>
      </c>
      <c r="B6" s="70"/>
      <c r="C6" s="75" t="str">
        <f>'Stavební rozpočet'!C6</f>
        <v>Hroznětice</v>
      </c>
      <c r="D6" s="70"/>
      <c r="E6" s="75" t="s">
        <v>9</v>
      </c>
      <c r="F6" s="75" t="str">
        <f>'Stavební rozpočet'!I6</f>
        <v> </v>
      </c>
      <c r="G6" s="70"/>
      <c r="H6" s="75" t="s">
        <v>3</v>
      </c>
      <c r="I6" s="80" t="s">
        <v>4</v>
      </c>
    </row>
    <row r="7" spans="1:9" ht="15" customHeight="1" x14ac:dyDescent="0.3">
      <c r="A7" s="69"/>
      <c r="B7" s="70"/>
      <c r="C7" s="70"/>
      <c r="D7" s="70"/>
      <c r="E7" s="70"/>
      <c r="F7" s="70"/>
      <c r="G7" s="70"/>
      <c r="H7" s="70"/>
      <c r="I7" s="80"/>
    </row>
    <row r="8" spans="1:9" ht="14.4" x14ac:dyDescent="0.3">
      <c r="A8" s="71" t="s">
        <v>10</v>
      </c>
      <c r="B8" s="70"/>
      <c r="C8" s="75"/>
      <c r="D8" s="70"/>
      <c r="E8" s="75" t="s">
        <v>11</v>
      </c>
      <c r="F8" s="75" t="str">
        <f>'Stavební rozpočet'!G6</f>
        <v xml:space="preserve"> </v>
      </c>
      <c r="G8" s="70"/>
      <c r="H8" s="70" t="s">
        <v>12</v>
      </c>
      <c r="I8" s="81">
        <v>383</v>
      </c>
    </row>
    <row r="9" spans="1:9" ht="14.4" x14ac:dyDescent="0.3">
      <c r="A9" s="69"/>
      <c r="B9" s="70"/>
      <c r="C9" s="70"/>
      <c r="D9" s="70"/>
      <c r="E9" s="70"/>
      <c r="F9" s="70"/>
      <c r="G9" s="70"/>
      <c r="H9" s="70"/>
      <c r="I9" s="80"/>
    </row>
    <row r="10" spans="1:9" ht="14.4" x14ac:dyDescent="0.3">
      <c r="A10" s="71" t="s">
        <v>13</v>
      </c>
      <c r="B10" s="70"/>
      <c r="C10" s="75" t="str">
        <f>'Stavební rozpočet'!C8</f>
        <v xml:space="preserve"> </v>
      </c>
      <c r="D10" s="70"/>
      <c r="E10" s="75" t="s">
        <v>14</v>
      </c>
      <c r="F10" s="75" t="str">
        <f>'Stavební rozpočet'!I8</f>
        <v> </v>
      </c>
      <c r="G10" s="70"/>
      <c r="H10" s="70" t="s">
        <v>15</v>
      </c>
      <c r="I10" s="82"/>
    </row>
    <row r="11" spans="1:9" ht="14.4" x14ac:dyDescent="0.3">
      <c r="A11" s="72"/>
      <c r="B11" s="73"/>
      <c r="C11" s="73"/>
      <c r="D11" s="73"/>
      <c r="E11" s="73"/>
      <c r="F11" s="73"/>
      <c r="G11" s="73"/>
      <c r="H11" s="73"/>
      <c r="I11" s="83"/>
    </row>
    <row r="12" spans="1:9" ht="22.8" x14ac:dyDescent="0.3">
      <c r="A12" s="84" t="s">
        <v>16</v>
      </c>
      <c r="B12" s="84"/>
      <c r="C12" s="84"/>
      <c r="D12" s="84"/>
      <c r="E12" s="84"/>
      <c r="F12" s="84"/>
      <c r="G12" s="84"/>
      <c r="H12" s="84"/>
      <c r="I12" s="84"/>
    </row>
    <row r="13" spans="1:9" ht="26.25" customHeight="1" x14ac:dyDescent="0.3">
      <c r="A13" s="4" t="s">
        <v>17</v>
      </c>
      <c r="B13" s="85" t="s">
        <v>18</v>
      </c>
      <c r="C13" s="86"/>
      <c r="D13" s="5" t="s">
        <v>19</v>
      </c>
      <c r="E13" s="85" t="s">
        <v>20</v>
      </c>
      <c r="F13" s="86"/>
      <c r="G13" s="5" t="s">
        <v>21</v>
      </c>
      <c r="H13" s="85" t="s">
        <v>22</v>
      </c>
      <c r="I13" s="86"/>
    </row>
    <row r="14" spans="1:9" ht="15.6" x14ac:dyDescent="0.3">
      <c r="A14" s="6" t="s">
        <v>23</v>
      </c>
      <c r="B14" s="7" t="s">
        <v>24</v>
      </c>
      <c r="C14" s="8">
        <f>SUM('Stavební rozpočet'!AB12:AB1144)</f>
        <v>0</v>
      </c>
      <c r="D14" s="93" t="s">
        <v>25</v>
      </c>
      <c r="E14" s="94"/>
      <c r="F14" s="8">
        <f>VORN!I15</f>
        <v>0</v>
      </c>
      <c r="G14" s="93" t="s">
        <v>26</v>
      </c>
      <c r="H14" s="94"/>
      <c r="I14" s="9">
        <f>VORN!I21</f>
        <v>0</v>
      </c>
    </row>
    <row r="15" spans="1:9" ht="15.6" x14ac:dyDescent="0.3">
      <c r="A15" s="10" t="s">
        <v>4</v>
      </c>
      <c r="B15" s="7" t="s">
        <v>27</v>
      </c>
      <c r="C15" s="8">
        <f>SUM('Stavební rozpočet'!AC12:AC1144)</f>
        <v>0</v>
      </c>
      <c r="D15" s="93" t="s">
        <v>28</v>
      </c>
      <c r="E15" s="94"/>
      <c r="F15" s="8">
        <f>VORN!I16</f>
        <v>0</v>
      </c>
      <c r="G15" s="93" t="s">
        <v>29</v>
      </c>
      <c r="H15" s="94"/>
      <c r="I15" s="9">
        <f>VORN!I22</f>
        <v>0</v>
      </c>
    </row>
    <row r="16" spans="1:9" ht="15.6" x14ac:dyDescent="0.3">
      <c r="A16" s="6" t="s">
        <v>30</v>
      </c>
      <c r="B16" s="7" t="s">
        <v>24</v>
      </c>
      <c r="C16" s="8">
        <f>SUM('Stavební rozpočet'!AD12:AD1144)</f>
        <v>0</v>
      </c>
      <c r="D16" s="93" t="s">
        <v>31</v>
      </c>
      <c r="E16" s="94"/>
      <c r="F16" s="8">
        <f>VORN!I17</f>
        <v>0</v>
      </c>
      <c r="G16" s="93" t="s">
        <v>32</v>
      </c>
      <c r="H16" s="94"/>
      <c r="I16" s="9">
        <f>VORN!I23</f>
        <v>0</v>
      </c>
    </row>
    <row r="17" spans="1:9" ht="15.6" x14ac:dyDescent="0.3">
      <c r="A17" s="10" t="s">
        <v>4</v>
      </c>
      <c r="B17" s="7" t="s">
        <v>27</v>
      </c>
      <c r="C17" s="8">
        <f>SUM('Stavební rozpočet'!AE12:AE1144)</f>
        <v>0</v>
      </c>
      <c r="D17" s="93" t="s">
        <v>4</v>
      </c>
      <c r="E17" s="94"/>
      <c r="F17" s="9" t="s">
        <v>4</v>
      </c>
      <c r="G17" s="93" t="s">
        <v>33</v>
      </c>
      <c r="H17" s="94"/>
      <c r="I17" s="9">
        <f>VORN!I24</f>
        <v>0</v>
      </c>
    </row>
    <row r="18" spans="1:9" ht="15.6" x14ac:dyDescent="0.3">
      <c r="A18" s="6" t="s">
        <v>34</v>
      </c>
      <c r="B18" s="7" t="s">
        <v>24</v>
      </c>
      <c r="C18" s="8">
        <f>SUM('Stavební rozpočet'!AF12:AF1144)</f>
        <v>0</v>
      </c>
      <c r="D18" s="93" t="s">
        <v>4</v>
      </c>
      <c r="E18" s="94"/>
      <c r="F18" s="9" t="s">
        <v>4</v>
      </c>
      <c r="G18" s="93" t="s">
        <v>35</v>
      </c>
      <c r="H18" s="94"/>
      <c r="I18" s="9">
        <f>VORN!I25</f>
        <v>0</v>
      </c>
    </row>
    <row r="19" spans="1:9" ht="15.6" x14ac:dyDescent="0.3">
      <c r="A19" s="10" t="s">
        <v>4</v>
      </c>
      <c r="B19" s="7" t="s">
        <v>27</v>
      </c>
      <c r="C19" s="8">
        <f>SUM('Stavební rozpočet'!AG12:AG1144)</f>
        <v>0</v>
      </c>
      <c r="D19" s="93" t="s">
        <v>4</v>
      </c>
      <c r="E19" s="94"/>
      <c r="F19" s="9" t="s">
        <v>4</v>
      </c>
      <c r="G19" s="93" t="s">
        <v>36</v>
      </c>
      <c r="H19" s="94"/>
      <c r="I19" s="9">
        <f>VORN!I26</f>
        <v>0</v>
      </c>
    </row>
    <row r="20" spans="1:9" ht="15.6" x14ac:dyDescent="0.3">
      <c r="A20" s="87" t="s">
        <v>37</v>
      </c>
      <c r="B20" s="88"/>
      <c r="C20" s="8">
        <f>SUM('Stavební rozpočet'!AH12:AH1144)</f>
        <v>0</v>
      </c>
      <c r="D20" s="93" t="s">
        <v>4</v>
      </c>
      <c r="E20" s="94"/>
      <c r="F20" s="9" t="s">
        <v>4</v>
      </c>
      <c r="G20" s="93" t="s">
        <v>4</v>
      </c>
      <c r="H20" s="94"/>
      <c r="I20" s="9" t="s">
        <v>4</v>
      </c>
    </row>
    <row r="21" spans="1:9" ht="15.6" x14ac:dyDescent="0.3">
      <c r="A21" s="89" t="s">
        <v>38</v>
      </c>
      <c r="B21" s="90"/>
      <c r="C21" s="11">
        <f>SUM('Stavební rozpočet'!Z12:Z1144)</f>
        <v>0</v>
      </c>
      <c r="D21" s="95" t="s">
        <v>4</v>
      </c>
      <c r="E21" s="96"/>
      <c r="F21" s="12" t="s">
        <v>4</v>
      </c>
      <c r="G21" s="95" t="s">
        <v>4</v>
      </c>
      <c r="H21" s="96"/>
      <c r="I21" s="12" t="s">
        <v>4</v>
      </c>
    </row>
    <row r="22" spans="1:9" ht="16.5" customHeight="1" x14ac:dyDescent="0.3">
      <c r="A22" s="91" t="s">
        <v>39</v>
      </c>
      <c r="B22" s="92"/>
      <c r="C22" s="13">
        <f>ROUND(SUM(C14:C21),2)</f>
        <v>0</v>
      </c>
      <c r="D22" s="97" t="s">
        <v>40</v>
      </c>
      <c r="E22" s="92"/>
      <c r="F22" s="13">
        <f>SUM(F14:F21)</f>
        <v>0</v>
      </c>
      <c r="G22" s="97" t="s">
        <v>41</v>
      </c>
      <c r="H22" s="92"/>
      <c r="I22" s="13">
        <f>SUM(I14:I21)</f>
        <v>0</v>
      </c>
    </row>
    <row r="23" spans="1:9" ht="15.6" x14ac:dyDescent="0.3">
      <c r="D23" s="87" t="s">
        <v>42</v>
      </c>
      <c r="E23" s="88"/>
      <c r="F23" s="14">
        <v>0</v>
      </c>
      <c r="G23" s="98" t="s">
        <v>43</v>
      </c>
      <c r="H23" s="88"/>
      <c r="I23" s="8">
        <v>0</v>
      </c>
    </row>
    <row r="24" spans="1:9" ht="15.6" x14ac:dyDescent="0.3">
      <c r="G24" s="87" t="s">
        <v>44</v>
      </c>
      <c r="H24" s="88"/>
      <c r="I24" s="11">
        <f>vorn_sum</f>
        <v>0</v>
      </c>
    </row>
    <row r="25" spans="1:9" ht="15.6" x14ac:dyDescent="0.3">
      <c r="G25" s="87" t="s">
        <v>45</v>
      </c>
      <c r="H25" s="88"/>
      <c r="I25" s="13">
        <v>0</v>
      </c>
    </row>
    <row r="27" spans="1:9" ht="15.6" x14ac:dyDescent="0.3">
      <c r="A27" s="99" t="s">
        <v>46</v>
      </c>
      <c r="B27" s="100"/>
      <c r="C27" s="15">
        <f>ROUND(SUM('Stavební rozpočet'!AJ12:AJ1144),2)</f>
        <v>0</v>
      </c>
    </row>
    <row r="28" spans="1:9" ht="15.6" x14ac:dyDescent="0.3">
      <c r="A28" s="101" t="s">
        <v>47</v>
      </c>
      <c r="B28" s="102"/>
      <c r="C28" s="16">
        <f>ROUND(SUM('Stavební rozpočet'!AK12:AK1144),2)</f>
        <v>0</v>
      </c>
      <c r="D28" s="103" t="s">
        <v>48</v>
      </c>
      <c r="E28" s="100"/>
      <c r="F28" s="15">
        <f>ROUND(C28*(12/100),2)</f>
        <v>0</v>
      </c>
      <c r="G28" s="103" t="s">
        <v>49</v>
      </c>
      <c r="H28" s="100"/>
      <c r="I28" s="15">
        <f>ROUND(SUM(C27:C29),2)</f>
        <v>0</v>
      </c>
    </row>
    <row r="29" spans="1:9" ht="15.6" x14ac:dyDescent="0.3">
      <c r="A29" s="101" t="s">
        <v>50</v>
      </c>
      <c r="B29" s="102"/>
      <c r="C29" s="16">
        <f>ROUND(SUM('Stavební rozpočet'!AL12:AL1144)+(F22+I22+F23+I23+I24+I25),2)</f>
        <v>0</v>
      </c>
      <c r="D29" s="104" t="s">
        <v>51</v>
      </c>
      <c r="E29" s="102"/>
      <c r="F29" s="16">
        <f>ROUND(C29*(21/100),2)</f>
        <v>0</v>
      </c>
      <c r="G29" s="104" t="s">
        <v>52</v>
      </c>
      <c r="H29" s="102"/>
      <c r="I29" s="16">
        <f>ROUND(SUM(F28:F29)+I28,2)</f>
        <v>0</v>
      </c>
    </row>
    <row r="31" spans="1:9" x14ac:dyDescent="0.3">
      <c r="A31" s="105" t="s">
        <v>53</v>
      </c>
      <c r="B31" s="106"/>
      <c r="C31" s="107"/>
      <c r="D31" s="114" t="s">
        <v>54</v>
      </c>
      <c r="E31" s="106"/>
      <c r="F31" s="107"/>
      <c r="G31" s="114" t="s">
        <v>55</v>
      </c>
      <c r="H31" s="106"/>
      <c r="I31" s="107"/>
    </row>
    <row r="32" spans="1:9" x14ac:dyDescent="0.3">
      <c r="A32" s="108" t="s">
        <v>4</v>
      </c>
      <c r="B32" s="109"/>
      <c r="C32" s="110"/>
      <c r="D32" s="115" t="s">
        <v>4</v>
      </c>
      <c r="E32" s="109"/>
      <c r="F32" s="110"/>
      <c r="G32" s="115" t="s">
        <v>4</v>
      </c>
      <c r="H32" s="109"/>
      <c r="I32" s="110"/>
    </row>
    <row r="33" spans="1:9" x14ac:dyDescent="0.3">
      <c r="A33" s="108" t="s">
        <v>4</v>
      </c>
      <c r="B33" s="109"/>
      <c r="C33" s="110"/>
      <c r="D33" s="115" t="s">
        <v>4</v>
      </c>
      <c r="E33" s="109"/>
      <c r="F33" s="110"/>
      <c r="G33" s="115" t="s">
        <v>4</v>
      </c>
      <c r="H33" s="109"/>
      <c r="I33" s="110"/>
    </row>
    <row r="34" spans="1:9" x14ac:dyDescent="0.3">
      <c r="A34" s="108" t="s">
        <v>4</v>
      </c>
      <c r="B34" s="109"/>
      <c r="C34" s="110"/>
      <c r="D34" s="115" t="s">
        <v>4</v>
      </c>
      <c r="E34" s="109"/>
      <c r="F34" s="110"/>
      <c r="G34" s="115" t="s">
        <v>4</v>
      </c>
      <c r="H34" s="109"/>
      <c r="I34" s="110"/>
    </row>
    <row r="35" spans="1:9" x14ac:dyDescent="0.3">
      <c r="A35" s="111" t="s">
        <v>56</v>
      </c>
      <c r="B35" s="112"/>
      <c r="C35" s="113"/>
      <c r="D35" s="116" t="s">
        <v>56</v>
      </c>
      <c r="E35" s="112"/>
      <c r="F35" s="113"/>
      <c r="G35" s="116" t="s">
        <v>56</v>
      </c>
      <c r="H35" s="112"/>
      <c r="I35" s="113"/>
    </row>
    <row r="36" spans="1:9" ht="14.4" x14ac:dyDescent="0.3">
      <c r="A36" s="17" t="s">
        <v>57</v>
      </c>
    </row>
    <row r="37" spans="1:9" ht="12.75" customHeight="1" x14ac:dyDescent="0.3">
      <c r="A37" s="75" t="s">
        <v>4</v>
      </c>
      <c r="B37" s="70"/>
      <c r="C37" s="70"/>
      <c r="D37" s="70"/>
      <c r="E37" s="70"/>
      <c r="F37" s="70"/>
      <c r="G37" s="70"/>
      <c r="H37" s="70"/>
      <c r="I37" s="70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workbookViewId="0">
      <selection activeCell="A36" sqref="A36:E36"/>
    </sheetView>
  </sheetViews>
  <sheetFormatPr defaultColWidth="12.109375" defaultRowHeight="15" customHeight="1" x14ac:dyDescent="0.3"/>
  <cols>
    <col min="1" max="1" width="9.109375" customWidth="1"/>
    <col min="2" max="2" width="12.88671875" customWidth="1"/>
    <col min="3" max="3" width="22.88671875" customWidth="1"/>
    <col min="4" max="4" width="10" customWidth="1"/>
    <col min="5" max="5" width="14" customWidth="1"/>
    <col min="6" max="6" width="22.88671875" customWidth="1"/>
    <col min="7" max="7" width="9.109375" customWidth="1"/>
    <col min="8" max="8" width="17.109375" customWidth="1"/>
    <col min="9" max="9" width="22.88671875" customWidth="1"/>
  </cols>
  <sheetData>
    <row r="1" spans="1:9" ht="54.75" customHeight="1" x14ac:dyDescent="0.3">
      <c r="A1" s="65" t="s">
        <v>58</v>
      </c>
      <c r="B1" s="66"/>
      <c r="C1" s="66"/>
      <c r="D1" s="66"/>
      <c r="E1" s="66"/>
      <c r="F1" s="66"/>
      <c r="G1" s="66"/>
      <c r="H1" s="66"/>
      <c r="I1" s="66"/>
    </row>
    <row r="2" spans="1:9" ht="14.4" x14ac:dyDescent="0.3">
      <c r="A2" s="67" t="s">
        <v>1</v>
      </c>
      <c r="B2" s="68"/>
      <c r="C2" s="76" t="str">
        <f>'Stavební rozpočet'!C2</f>
        <v>Objekt pro dětskou skupinu</v>
      </c>
      <c r="D2" s="77"/>
      <c r="E2" s="74" t="s">
        <v>2</v>
      </c>
      <c r="F2" s="74" t="str">
        <f>'Stavební rozpočet'!I2</f>
        <v>Obec Hořice</v>
      </c>
      <c r="G2" s="68"/>
      <c r="H2" s="74" t="s">
        <v>3</v>
      </c>
      <c r="I2" s="79" t="s">
        <v>4</v>
      </c>
    </row>
    <row r="3" spans="1:9" ht="15" customHeight="1" x14ac:dyDescent="0.3">
      <c r="A3" s="69"/>
      <c r="B3" s="70"/>
      <c r="C3" s="78"/>
      <c r="D3" s="78"/>
      <c r="E3" s="70"/>
      <c r="F3" s="70"/>
      <c r="G3" s="70"/>
      <c r="H3" s="70"/>
      <c r="I3" s="80"/>
    </row>
    <row r="4" spans="1:9" ht="14.4" x14ac:dyDescent="0.3">
      <c r="A4" s="71" t="s">
        <v>5</v>
      </c>
      <c r="B4" s="70"/>
      <c r="C4" s="75" t="str">
        <f>'Stavební rozpočet'!C4</f>
        <v>novostavba</v>
      </c>
      <c r="D4" s="70"/>
      <c r="E4" s="75" t="s">
        <v>6</v>
      </c>
      <c r="F4" s="75" t="str">
        <f>'Stavební rozpočet'!I4</f>
        <v>ARCHIN s.r.o.</v>
      </c>
      <c r="G4" s="70"/>
      <c r="H4" s="75" t="s">
        <v>3</v>
      </c>
      <c r="I4" s="80" t="s">
        <v>7</v>
      </c>
    </row>
    <row r="5" spans="1:9" ht="15" customHeight="1" x14ac:dyDescent="0.3">
      <c r="A5" s="69"/>
      <c r="B5" s="70"/>
      <c r="C5" s="70"/>
      <c r="D5" s="70"/>
      <c r="E5" s="70"/>
      <c r="F5" s="70"/>
      <c r="G5" s="70"/>
      <c r="H5" s="70"/>
      <c r="I5" s="80"/>
    </row>
    <row r="6" spans="1:9" ht="14.4" x14ac:dyDescent="0.3">
      <c r="A6" s="71" t="s">
        <v>8</v>
      </c>
      <c r="B6" s="70"/>
      <c r="C6" s="75" t="str">
        <f>'Stavební rozpočet'!C6</f>
        <v>Hroznětice</v>
      </c>
      <c r="D6" s="70"/>
      <c r="E6" s="75" t="s">
        <v>9</v>
      </c>
      <c r="F6" s="75" t="str">
        <f>'Stavební rozpočet'!I6</f>
        <v> </v>
      </c>
      <c r="G6" s="70"/>
      <c r="H6" s="75" t="s">
        <v>3</v>
      </c>
      <c r="I6" s="80" t="s">
        <v>4</v>
      </c>
    </row>
    <row r="7" spans="1:9" ht="15" customHeight="1" x14ac:dyDescent="0.3">
      <c r="A7" s="69"/>
      <c r="B7" s="70"/>
      <c r="C7" s="70"/>
      <c r="D7" s="70"/>
      <c r="E7" s="70"/>
      <c r="F7" s="70"/>
      <c r="G7" s="70"/>
      <c r="H7" s="70"/>
      <c r="I7" s="80"/>
    </row>
    <row r="8" spans="1:9" ht="14.4" x14ac:dyDescent="0.3">
      <c r="A8" s="71" t="s">
        <v>10</v>
      </c>
      <c r="B8" s="70"/>
      <c r="C8" s="75">
        <f>'Stavební rozpočet'!G4</f>
        <v>0</v>
      </c>
      <c r="D8" s="70"/>
      <c r="E8" s="75" t="s">
        <v>11</v>
      </c>
      <c r="F8" s="75" t="str">
        <f>'Stavební rozpočet'!G6</f>
        <v xml:space="preserve"> </v>
      </c>
      <c r="G8" s="70"/>
      <c r="H8" s="70" t="s">
        <v>12</v>
      </c>
      <c r="I8" s="81">
        <v>383</v>
      </c>
    </row>
    <row r="9" spans="1:9" ht="14.4" x14ac:dyDescent="0.3">
      <c r="A9" s="69"/>
      <c r="B9" s="70"/>
      <c r="C9" s="70"/>
      <c r="D9" s="70"/>
      <c r="E9" s="70"/>
      <c r="F9" s="70"/>
      <c r="G9" s="70"/>
      <c r="H9" s="70"/>
      <c r="I9" s="80"/>
    </row>
    <row r="10" spans="1:9" ht="14.4" x14ac:dyDescent="0.3">
      <c r="A10" s="71" t="s">
        <v>13</v>
      </c>
      <c r="B10" s="70"/>
      <c r="C10" s="75" t="str">
        <f>'Stavební rozpočet'!C8</f>
        <v xml:space="preserve"> </v>
      </c>
      <c r="D10" s="70"/>
      <c r="E10" s="75" t="s">
        <v>14</v>
      </c>
      <c r="F10" s="75" t="str">
        <f>'Stavební rozpočet'!I8</f>
        <v> </v>
      </c>
      <c r="G10" s="70"/>
      <c r="H10" s="70" t="s">
        <v>15</v>
      </c>
      <c r="I10" s="82">
        <f>'Stavební rozpočet'!G8</f>
        <v>0</v>
      </c>
    </row>
    <row r="11" spans="1:9" ht="14.4" x14ac:dyDescent="0.3">
      <c r="A11" s="72"/>
      <c r="B11" s="73"/>
      <c r="C11" s="73"/>
      <c r="D11" s="73"/>
      <c r="E11" s="73"/>
      <c r="F11" s="73"/>
      <c r="G11" s="73"/>
      <c r="H11" s="73"/>
      <c r="I11" s="83"/>
    </row>
    <row r="13" spans="1:9" ht="15.6" x14ac:dyDescent="0.3">
      <c r="A13" s="117" t="s">
        <v>59</v>
      </c>
      <c r="B13" s="117"/>
      <c r="C13" s="117"/>
      <c r="D13" s="117"/>
      <c r="E13" s="117"/>
    </row>
    <row r="14" spans="1:9" ht="14.4" x14ac:dyDescent="0.3">
      <c r="A14" s="118" t="s">
        <v>60</v>
      </c>
      <c r="B14" s="119"/>
      <c r="C14" s="119"/>
      <c r="D14" s="119"/>
      <c r="E14" s="120"/>
      <c r="F14" s="18" t="s">
        <v>61</v>
      </c>
      <c r="G14" s="18" t="s">
        <v>62</v>
      </c>
      <c r="H14" s="18" t="s">
        <v>63</v>
      </c>
      <c r="I14" s="18" t="s">
        <v>61</v>
      </c>
    </row>
    <row r="15" spans="1:9" ht="14.4" x14ac:dyDescent="0.3">
      <c r="A15" s="121" t="s">
        <v>25</v>
      </c>
      <c r="B15" s="122"/>
      <c r="C15" s="122"/>
      <c r="D15" s="122"/>
      <c r="E15" s="123"/>
      <c r="F15" s="19">
        <v>0</v>
      </c>
      <c r="G15" s="20" t="s">
        <v>4</v>
      </c>
      <c r="H15" s="20" t="s">
        <v>4</v>
      </c>
      <c r="I15" s="19">
        <f>F15</f>
        <v>0</v>
      </c>
    </row>
    <row r="16" spans="1:9" ht="14.4" x14ac:dyDescent="0.3">
      <c r="A16" s="121" t="s">
        <v>28</v>
      </c>
      <c r="B16" s="122"/>
      <c r="C16" s="122"/>
      <c r="D16" s="122"/>
      <c r="E16" s="123"/>
      <c r="F16" s="19">
        <v>0</v>
      </c>
      <c r="G16" s="20" t="s">
        <v>4</v>
      </c>
      <c r="H16" s="20" t="s">
        <v>4</v>
      </c>
      <c r="I16" s="19">
        <f>F16</f>
        <v>0</v>
      </c>
    </row>
    <row r="17" spans="1:9" ht="14.4" x14ac:dyDescent="0.3">
      <c r="A17" s="124" t="s">
        <v>31</v>
      </c>
      <c r="B17" s="125"/>
      <c r="C17" s="125"/>
      <c r="D17" s="125"/>
      <c r="E17" s="126"/>
      <c r="F17" s="21">
        <v>0</v>
      </c>
      <c r="G17" s="22" t="s">
        <v>4</v>
      </c>
      <c r="H17" s="22" t="s">
        <v>4</v>
      </c>
      <c r="I17" s="21">
        <f>F17</f>
        <v>0</v>
      </c>
    </row>
    <row r="18" spans="1:9" ht="14.4" x14ac:dyDescent="0.3">
      <c r="A18" s="127" t="s">
        <v>64</v>
      </c>
      <c r="B18" s="128"/>
      <c r="C18" s="128"/>
      <c r="D18" s="128"/>
      <c r="E18" s="129"/>
      <c r="F18" s="23" t="s">
        <v>4</v>
      </c>
      <c r="G18" s="24" t="s">
        <v>4</v>
      </c>
      <c r="H18" s="24" t="s">
        <v>4</v>
      </c>
      <c r="I18" s="25">
        <f>SUM(I15:I17)</f>
        <v>0</v>
      </c>
    </row>
    <row r="20" spans="1:9" ht="14.4" x14ac:dyDescent="0.3">
      <c r="A20" s="118" t="s">
        <v>22</v>
      </c>
      <c r="B20" s="119"/>
      <c r="C20" s="119"/>
      <c r="D20" s="119"/>
      <c r="E20" s="120"/>
      <c r="F20" s="18" t="s">
        <v>61</v>
      </c>
      <c r="G20" s="18" t="s">
        <v>62</v>
      </c>
      <c r="H20" s="18" t="s">
        <v>63</v>
      </c>
      <c r="I20" s="18" t="s">
        <v>61</v>
      </c>
    </row>
    <row r="21" spans="1:9" ht="14.4" x14ac:dyDescent="0.3">
      <c r="A21" s="121" t="s">
        <v>26</v>
      </c>
      <c r="B21" s="122"/>
      <c r="C21" s="122"/>
      <c r="D21" s="122"/>
      <c r="E21" s="123"/>
      <c r="F21" s="20" t="s">
        <v>4</v>
      </c>
      <c r="G21" s="19">
        <v>5</v>
      </c>
      <c r="H21" s="19">
        <f>'Krycí list rozpočtu'!C22</f>
        <v>0</v>
      </c>
      <c r="I21" s="19">
        <f>ROUND((G21/100)*H21,2)</f>
        <v>0</v>
      </c>
    </row>
    <row r="22" spans="1:9" ht="14.4" x14ac:dyDescent="0.3">
      <c r="A22" s="121" t="s">
        <v>29</v>
      </c>
      <c r="B22" s="122"/>
      <c r="C22" s="122"/>
      <c r="D22" s="122"/>
      <c r="E22" s="123"/>
      <c r="F22" s="19">
        <v>0</v>
      </c>
      <c r="G22" s="20" t="s">
        <v>4</v>
      </c>
      <c r="H22" s="20" t="s">
        <v>4</v>
      </c>
      <c r="I22" s="19">
        <f>F22</f>
        <v>0</v>
      </c>
    </row>
    <row r="23" spans="1:9" ht="14.4" x14ac:dyDescent="0.3">
      <c r="A23" s="121" t="s">
        <v>32</v>
      </c>
      <c r="B23" s="122"/>
      <c r="C23" s="122"/>
      <c r="D23" s="122"/>
      <c r="E23" s="123"/>
      <c r="F23" s="19">
        <v>0</v>
      </c>
      <c r="G23" s="20" t="s">
        <v>4</v>
      </c>
      <c r="H23" s="20" t="s">
        <v>4</v>
      </c>
      <c r="I23" s="19">
        <f>F23</f>
        <v>0</v>
      </c>
    </row>
    <row r="24" spans="1:9" ht="14.4" x14ac:dyDescent="0.3">
      <c r="A24" s="121" t="s">
        <v>33</v>
      </c>
      <c r="B24" s="122"/>
      <c r="C24" s="122"/>
      <c r="D24" s="122"/>
      <c r="E24" s="123"/>
      <c r="F24" s="19">
        <v>0</v>
      </c>
      <c r="G24" s="20" t="s">
        <v>4</v>
      </c>
      <c r="H24" s="20" t="s">
        <v>4</v>
      </c>
      <c r="I24" s="19">
        <f>F24</f>
        <v>0</v>
      </c>
    </row>
    <row r="25" spans="1:9" ht="14.4" x14ac:dyDescent="0.3">
      <c r="A25" s="121" t="s">
        <v>35</v>
      </c>
      <c r="B25" s="122"/>
      <c r="C25" s="122"/>
      <c r="D25" s="122"/>
      <c r="E25" s="123"/>
      <c r="F25" s="19">
        <v>0</v>
      </c>
      <c r="G25" s="20" t="s">
        <v>4</v>
      </c>
      <c r="H25" s="20" t="s">
        <v>4</v>
      </c>
      <c r="I25" s="19">
        <f>F25</f>
        <v>0</v>
      </c>
    </row>
    <row r="26" spans="1:9" ht="14.4" x14ac:dyDescent="0.3">
      <c r="A26" s="124" t="s">
        <v>36</v>
      </c>
      <c r="B26" s="125"/>
      <c r="C26" s="125"/>
      <c r="D26" s="125"/>
      <c r="E26" s="126"/>
      <c r="F26" s="21">
        <v>0</v>
      </c>
      <c r="G26" s="22" t="s">
        <v>4</v>
      </c>
      <c r="H26" s="22" t="s">
        <v>4</v>
      </c>
      <c r="I26" s="21">
        <f>F26</f>
        <v>0</v>
      </c>
    </row>
    <row r="27" spans="1:9" ht="14.4" x14ac:dyDescent="0.3">
      <c r="A27" s="127" t="s">
        <v>65</v>
      </c>
      <c r="B27" s="128"/>
      <c r="C27" s="128"/>
      <c r="D27" s="128"/>
      <c r="E27" s="129"/>
      <c r="F27" s="23" t="s">
        <v>4</v>
      </c>
      <c r="G27" s="24" t="s">
        <v>4</v>
      </c>
      <c r="H27" s="24" t="s">
        <v>4</v>
      </c>
      <c r="I27" s="25">
        <f>SUM(I21:I26)</f>
        <v>0</v>
      </c>
    </row>
    <row r="29" spans="1:9" ht="15.6" x14ac:dyDescent="0.3">
      <c r="A29" s="130" t="s">
        <v>66</v>
      </c>
      <c r="B29" s="131"/>
      <c r="C29" s="131"/>
      <c r="D29" s="131"/>
      <c r="E29" s="132"/>
      <c r="F29" s="133">
        <f>I18+I27</f>
        <v>0</v>
      </c>
      <c r="G29" s="134"/>
      <c r="H29" s="134"/>
      <c r="I29" s="135"/>
    </row>
    <row r="33" spans="1:9" ht="15.6" x14ac:dyDescent="0.3">
      <c r="A33" s="117" t="s">
        <v>67</v>
      </c>
      <c r="B33" s="117"/>
      <c r="C33" s="117"/>
      <c r="D33" s="117"/>
      <c r="E33" s="117"/>
    </row>
    <row r="34" spans="1:9" ht="14.4" x14ac:dyDescent="0.3">
      <c r="A34" s="118" t="s">
        <v>68</v>
      </c>
      <c r="B34" s="119"/>
      <c r="C34" s="119"/>
      <c r="D34" s="119"/>
      <c r="E34" s="120"/>
      <c r="F34" s="18" t="s">
        <v>61</v>
      </c>
      <c r="G34" s="18" t="s">
        <v>62</v>
      </c>
      <c r="H34" s="18" t="s">
        <v>63</v>
      </c>
      <c r="I34" s="18" t="s">
        <v>61</v>
      </c>
    </row>
    <row r="35" spans="1:9" ht="14.4" x14ac:dyDescent="0.3">
      <c r="A35" s="124" t="s">
        <v>69</v>
      </c>
      <c r="B35" s="125"/>
      <c r="C35" s="125"/>
      <c r="D35" s="125"/>
      <c r="E35" s="126"/>
      <c r="F35" s="21">
        <v>0</v>
      </c>
      <c r="G35" s="22" t="s">
        <v>4</v>
      </c>
      <c r="H35" s="22" t="s">
        <v>4</v>
      </c>
      <c r="I35" s="21">
        <f>F35</f>
        <v>0</v>
      </c>
    </row>
    <row r="36" spans="1:9" ht="14.4" x14ac:dyDescent="0.3">
      <c r="A36" s="127" t="s">
        <v>70</v>
      </c>
      <c r="B36" s="128"/>
      <c r="C36" s="128"/>
      <c r="D36" s="128"/>
      <c r="E36" s="129"/>
      <c r="F36" s="23" t="s">
        <v>4</v>
      </c>
      <c r="G36" s="24" t="s">
        <v>4</v>
      </c>
      <c r="H36" s="24" t="s">
        <v>4</v>
      </c>
      <c r="I36" s="25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Z1147"/>
  <sheetViews>
    <sheetView workbookViewId="0">
      <pane ySplit="11" topLeftCell="A12" activePane="bottomLeft" state="frozen"/>
      <selection pane="bottomLeft" activeCell="G8" sqref="G8:G9"/>
    </sheetView>
  </sheetViews>
  <sheetFormatPr defaultColWidth="12.109375" defaultRowHeight="15" customHeight="1" x14ac:dyDescent="0.3"/>
  <cols>
    <col min="1" max="1" width="4" customWidth="1"/>
    <col min="2" max="2" width="17.88671875" customWidth="1"/>
    <col min="3" max="3" width="42.88671875" customWidth="1"/>
    <col min="4" max="4" width="35.6640625" customWidth="1"/>
    <col min="5" max="5" width="8" customWidth="1"/>
    <col min="6" max="6" width="12.88671875" customWidth="1"/>
    <col min="7" max="7" width="12" customWidth="1"/>
    <col min="8" max="10" width="15.6640625" customWidth="1"/>
    <col min="11" max="11" width="14.6640625" customWidth="1"/>
    <col min="25" max="75" width="12.109375" hidden="1"/>
    <col min="76" max="76" width="78.5546875" hidden="1" customWidth="1"/>
    <col min="77" max="78" width="12.109375" hidden="1"/>
  </cols>
  <sheetData>
    <row r="1" spans="1:76" ht="54.75" customHeight="1" x14ac:dyDescent="0.3">
      <c r="A1" s="66" t="s">
        <v>71</v>
      </c>
      <c r="B1" s="66"/>
      <c r="C1" s="66"/>
      <c r="D1" s="66"/>
      <c r="E1" s="66"/>
      <c r="F1" s="66"/>
      <c r="G1" s="66"/>
      <c r="H1" s="66"/>
      <c r="I1" s="66"/>
      <c r="J1" s="66"/>
      <c r="K1" s="66"/>
      <c r="AS1" s="26">
        <f>SUM(AJ1:AJ2)</f>
        <v>0</v>
      </c>
      <c r="AT1" s="26">
        <f>SUM(AK1:AK2)</f>
        <v>0</v>
      </c>
      <c r="AU1" s="26">
        <f>SUM(AL1:AL2)</f>
        <v>0</v>
      </c>
    </row>
    <row r="2" spans="1:76" ht="14.4" x14ac:dyDescent="0.3">
      <c r="A2" s="67" t="s">
        <v>1</v>
      </c>
      <c r="B2" s="68"/>
      <c r="C2" s="76" t="s">
        <v>72</v>
      </c>
      <c r="D2" s="77"/>
      <c r="E2" s="68" t="s">
        <v>73</v>
      </c>
      <c r="F2" s="68"/>
      <c r="G2" s="68" t="s">
        <v>74</v>
      </c>
      <c r="H2" s="74" t="s">
        <v>2</v>
      </c>
      <c r="I2" s="74" t="s">
        <v>75</v>
      </c>
      <c r="J2" s="68"/>
      <c r="K2" s="79"/>
    </row>
    <row r="3" spans="1:76" ht="14.4" x14ac:dyDescent="0.3">
      <c r="A3" s="69"/>
      <c r="B3" s="70"/>
      <c r="C3" s="78"/>
      <c r="D3" s="78"/>
      <c r="E3" s="70"/>
      <c r="F3" s="70"/>
      <c r="G3" s="70"/>
      <c r="H3" s="70"/>
      <c r="I3" s="70"/>
      <c r="J3" s="70"/>
      <c r="K3" s="80"/>
    </row>
    <row r="4" spans="1:76" ht="14.4" x14ac:dyDescent="0.3">
      <c r="A4" s="71" t="s">
        <v>5</v>
      </c>
      <c r="B4" s="70"/>
      <c r="C4" s="75" t="s">
        <v>76</v>
      </c>
      <c r="D4" s="70"/>
      <c r="E4" s="70" t="s">
        <v>10</v>
      </c>
      <c r="F4" s="70"/>
      <c r="G4" s="70"/>
      <c r="H4" s="75" t="s">
        <v>6</v>
      </c>
      <c r="I4" s="75" t="s">
        <v>77</v>
      </c>
      <c r="J4" s="70"/>
      <c r="K4" s="80"/>
    </row>
    <row r="5" spans="1:76" ht="14.4" x14ac:dyDescent="0.3">
      <c r="A5" s="69"/>
      <c r="B5" s="70"/>
      <c r="C5" s="70"/>
      <c r="D5" s="70"/>
      <c r="E5" s="70"/>
      <c r="F5" s="70"/>
      <c r="G5" s="70"/>
      <c r="H5" s="70"/>
      <c r="I5" s="70"/>
      <c r="J5" s="70"/>
      <c r="K5" s="80"/>
    </row>
    <row r="6" spans="1:76" ht="14.4" x14ac:dyDescent="0.3">
      <c r="A6" s="71" t="s">
        <v>8</v>
      </c>
      <c r="B6" s="70"/>
      <c r="C6" s="75" t="s">
        <v>78</v>
      </c>
      <c r="D6" s="70"/>
      <c r="E6" s="70" t="s">
        <v>11</v>
      </c>
      <c r="F6" s="70"/>
      <c r="G6" s="70" t="s">
        <v>74</v>
      </c>
      <c r="H6" s="75" t="s">
        <v>9</v>
      </c>
      <c r="I6" s="70" t="s">
        <v>79</v>
      </c>
      <c r="J6" s="70"/>
      <c r="K6" s="80"/>
    </row>
    <row r="7" spans="1:76" ht="14.4" x14ac:dyDescent="0.3">
      <c r="A7" s="69"/>
      <c r="B7" s="70"/>
      <c r="C7" s="70"/>
      <c r="D7" s="70"/>
      <c r="E7" s="70"/>
      <c r="F7" s="70"/>
      <c r="G7" s="70"/>
      <c r="H7" s="70"/>
      <c r="I7" s="70"/>
      <c r="J7" s="70"/>
      <c r="K7" s="80"/>
    </row>
    <row r="8" spans="1:76" ht="14.4" x14ac:dyDescent="0.3">
      <c r="A8" s="71" t="s">
        <v>13</v>
      </c>
      <c r="B8" s="70"/>
      <c r="C8" s="75" t="s">
        <v>74</v>
      </c>
      <c r="D8" s="70"/>
      <c r="E8" s="70" t="s">
        <v>80</v>
      </c>
      <c r="F8" s="70"/>
      <c r="G8" s="70"/>
      <c r="H8" s="75" t="s">
        <v>14</v>
      </c>
      <c r="I8" s="70" t="s">
        <v>79</v>
      </c>
      <c r="J8" s="70"/>
      <c r="K8" s="80"/>
    </row>
    <row r="9" spans="1:76" ht="14.4" x14ac:dyDescent="0.3">
      <c r="A9" s="136"/>
      <c r="B9" s="137"/>
      <c r="C9" s="137"/>
      <c r="D9" s="137"/>
      <c r="E9" s="137"/>
      <c r="F9" s="137"/>
      <c r="G9" s="137"/>
      <c r="H9" s="137"/>
      <c r="I9" s="137"/>
      <c r="J9" s="137"/>
      <c r="K9" s="138"/>
    </row>
    <row r="10" spans="1:76" ht="14.4" x14ac:dyDescent="0.3">
      <c r="A10" s="27" t="s">
        <v>81</v>
      </c>
      <c r="B10" s="28" t="s">
        <v>82</v>
      </c>
      <c r="C10" s="139" t="s">
        <v>83</v>
      </c>
      <c r="D10" s="140"/>
      <c r="E10" s="28" t="s">
        <v>84</v>
      </c>
      <c r="F10" s="29" t="s">
        <v>85</v>
      </c>
      <c r="G10" s="30" t="s">
        <v>86</v>
      </c>
      <c r="H10" s="143" t="s">
        <v>87</v>
      </c>
      <c r="I10" s="144"/>
      <c r="J10" s="145"/>
      <c r="K10" s="31" t="s">
        <v>88</v>
      </c>
      <c r="BK10" s="32" t="s">
        <v>89</v>
      </c>
      <c r="BL10" s="33" t="s">
        <v>90</v>
      </c>
      <c r="BW10" s="33" t="s">
        <v>91</v>
      </c>
    </row>
    <row r="11" spans="1:76" ht="14.4" x14ac:dyDescent="0.3">
      <c r="A11" s="34" t="s">
        <v>74</v>
      </c>
      <c r="B11" s="35" t="s">
        <v>74</v>
      </c>
      <c r="C11" s="141" t="s">
        <v>92</v>
      </c>
      <c r="D11" s="142"/>
      <c r="E11" s="35" t="s">
        <v>74</v>
      </c>
      <c r="F11" s="35" t="s">
        <v>74</v>
      </c>
      <c r="G11" s="36" t="s">
        <v>93</v>
      </c>
      <c r="H11" s="37" t="s">
        <v>94</v>
      </c>
      <c r="I11" s="38" t="s">
        <v>27</v>
      </c>
      <c r="J11" s="39" t="s">
        <v>95</v>
      </c>
      <c r="K11" s="40" t="s">
        <v>96</v>
      </c>
      <c r="Z11" s="32" t="s">
        <v>97</v>
      </c>
      <c r="AA11" s="32" t="s">
        <v>98</v>
      </c>
      <c r="AB11" s="32" t="s">
        <v>99</v>
      </c>
      <c r="AC11" s="32" t="s">
        <v>100</v>
      </c>
      <c r="AD11" s="32" t="s">
        <v>101</v>
      </c>
      <c r="AE11" s="32" t="s">
        <v>102</v>
      </c>
      <c r="AF11" s="32" t="s">
        <v>103</v>
      </c>
      <c r="AG11" s="32" t="s">
        <v>104</v>
      </c>
      <c r="AH11" s="32" t="s">
        <v>105</v>
      </c>
      <c r="BH11" s="32" t="s">
        <v>106</v>
      </c>
      <c r="BI11" s="32" t="s">
        <v>107</v>
      </c>
      <c r="BJ11" s="32" t="s">
        <v>108</v>
      </c>
    </row>
    <row r="12" spans="1:76" ht="14.4" x14ac:dyDescent="0.3">
      <c r="A12" s="41" t="s">
        <v>4</v>
      </c>
      <c r="B12" s="42" t="s">
        <v>4</v>
      </c>
      <c r="C12" s="146" t="s">
        <v>109</v>
      </c>
      <c r="D12" s="147"/>
      <c r="E12" s="43" t="s">
        <v>74</v>
      </c>
      <c r="F12" s="43" t="s">
        <v>74</v>
      </c>
      <c r="G12" s="43" t="s">
        <v>74</v>
      </c>
      <c r="H12" s="44">
        <f>H13+H54+H76+H103+H108+H145+H185+H239+H254+H284+H331+H334+H340+H381+H397+H401+H409+H421+H468+H507+H552+H598+H604+H621+H626+H629+H641+H648+H651+H686+H713+H724+H753+H772+H827+H858+H881+H889+H911+H919+H924+H936+H963+H974+H979+H988+H998+H1001+H1052+H1071+H1079+H1142</f>
        <v>0</v>
      </c>
      <c r="I12" s="44">
        <f>I13+I54+I76+I103+I108+I145+I185+I239+I254+I284+I331+I334+I340+I381+I397+I401+I409+I421+I468+I507+I552+I598+I604+I621+I626+I629+I641+I648+I651+I686+I713+I724+I753+I772+I827+I858+I881+I889+I911+I919+I924+I936+I963+I974+I979+I988+I998+I1001+I1052+I1071+I1079+I1142</f>
        <v>0</v>
      </c>
      <c r="J12" s="44">
        <f>J13+J54+J76+J103+J108+J145+J185+J239+J254+J284+J331+J334+J340+J381+J397+J401+J409+J421+J468+J507+J552+J598+J604+J621+J626+J629+J641+J648+J651+J686+J713+J724+J753+J772+J827+J858+J881+J889+J911+J919+J924+J936+J963+J974+J979+J988+J998+J1001+J1052+J1071+J1079+J1142</f>
        <v>0</v>
      </c>
      <c r="K12" s="45" t="s">
        <v>4</v>
      </c>
    </row>
    <row r="13" spans="1:76" ht="14.4" x14ac:dyDescent="0.3">
      <c r="A13" s="46" t="s">
        <v>4</v>
      </c>
      <c r="B13" s="47" t="s">
        <v>110</v>
      </c>
      <c r="C13" s="148" t="s">
        <v>111</v>
      </c>
      <c r="D13" s="149"/>
      <c r="E13" s="48" t="s">
        <v>74</v>
      </c>
      <c r="F13" s="48" t="s">
        <v>74</v>
      </c>
      <c r="G13" s="48" t="s">
        <v>74</v>
      </c>
      <c r="H13" s="26">
        <f>SUM(H14:H50)</f>
        <v>0</v>
      </c>
      <c r="I13" s="26">
        <f>SUM(I14:I50)</f>
        <v>0</v>
      </c>
      <c r="J13" s="26">
        <f>SUM(J14:J50)</f>
        <v>0</v>
      </c>
      <c r="K13" s="49" t="s">
        <v>4</v>
      </c>
      <c r="AI13" s="32" t="s">
        <v>4</v>
      </c>
      <c r="AS13" s="26">
        <f>SUM(AJ14:AJ50)</f>
        <v>0</v>
      </c>
      <c r="AT13" s="26">
        <f>SUM(AK14:AK50)</f>
        <v>0</v>
      </c>
      <c r="AU13" s="26">
        <f>SUM(AL14:AL50)</f>
        <v>0</v>
      </c>
    </row>
    <row r="14" spans="1:76" ht="14.4" x14ac:dyDescent="0.3">
      <c r="A14" s="1" t="s">
        <v>112</v>
      </c>
      <c r="B14" s="2" t="s">
        <v>113</v>
      </c>
      <c r="C14" s="75" t="s">
        <v>114</v>
      </c>
      <c r="D14" s="70"/>
      <c r="E14" s="2" t="s">
        <v>115</v>
      </c>
      <c r="F14" s="50">
        <v>252.05779999999999</v>
      </c>
      <c r="G14" s="50">
        <v>0</v>
      </c>
      <c r="H14" s="50">
        <f>ROUND(F14*AO14,2)</f>
        <v>0</v>
      </c>
      <c r="I14" s="50">
        <f>ROUND(F14*AP14,2)</f>
        <v>0</v>
      </c>
      <c r="J14" s="50">
        <f>ROUND(F14*G14,2)</f>
        <v>0</v>
      </c>
      <c r="K14" s="51" t="s">
        <v>116</v>
      </c>
      <c r="Z14" s="50">
        <f>ROUND(IF(AQ14="5",BJ14,0),2)</f>
        <v>0</v>
      </c>
      <c r="AB14" s="50">
        <f>ROUND(IF(AQ14="1",BH14,0),2)</f>
        <v>0</v>
      </c>
      <c r="AC14" s="50">
        <f>ROUND(IF(AQ14="1",BI14,0),2)</f>
        <v>0</v>
      </c>
      <c r="AD14" s="50">
        <f>ROUND(IF(AQ14="7",BH14,0),2)</f>
        <v>0</v>
      </c>
      <c r="AE14" s="50">
        <f>ROUND(IF(AQ14="7",BI14,0),2)</f>
        <v>0</v>
      </c>
      <c r="AF14" s="50">
        <f>ROUND(IF(AQ14="2",BH14,0),2)</f>
        <v>0</v>
      </c>
      <c r="AG14" s="50">
        <f>ROUND(IF(AQ14="2",BI14,0),2)</f>
        <v>0</v>
      </c>
      <c r="AH14" s="50">
        <f>ROUND(IF(AQ14="0",BJ14,0),2)</f>
        <v>0</v>
      </c>
      <c r="AI14" s="32" t="s">
        <v>4</v>
      </c>
      <c r="AJ14" s="50">
        <f>IF(AN14=0,J14,0)</f>
        <v>0</v>
      </c>
      <c r="AK14" s="50">
        <f>IF(AN14=12,J14,0)</f>
        <v>0</v>
      </c>
      <c r="AL14" s="50">
        <f>IF(AN14=21,J14,0)</f>
        <v>0</v>
      </c>
      <c r="AN14" s="50">
        <v>21</v>
      </c>
      <c r="AO14" s="50">
        <f>G14*0</f>
        <v>0</v>
      </c>
      <c r="AP14" s="50">
        <f>G14*(1-0)</f>
        <v>0</v>
      </c>
      <c r="AQ14" s="52" t="s">
        <v>112</v>
      </c>
      <c r="AV14" s="50">
        <f>ROUND(AW14+AX14,2)</f>
        <v>0</v>
      </c>
      <c r="AW14" s="50">
        <f>ROUND(F14*AO14,2)</f>
        <v>0</v>
      </c>
      <c r="AX14" s="50">
        <f>ROUND(F14*AP14,2)</f>
        <v>0</v>
      </c>
      <c r="AY14" s="52" t="s">
        <v>117</v>
      </c>
      <c r="AZ14" s="52" t="s">
        <v>118</v>
      </c>
      <c r="BA14" s="32" t="s">
        <v>119</v>
      </c>
      <c r="BC14" s="50">
        <f>AW14+AX14</f>
        <v>0</v>
      </c>
      <c r="BD14" s="50">
        <f>G14/(100-BE14)*100</f>
        <v>0</v>
      </c>
      <c r="BE14" s="50">
        <v>0</v>
      </c>
      <c r="BF14" s="50">
        <f>14</f>
        <v>14</v>
      </c>
      <c r="BH14" s="50">
        <f>F14*AO14</f>
        <v>0</v>
      </c>
      <c r="BI14" s="50">
        <f>F14*AP14</f>
        <v>0</v>
      </c>
      <c r="BJ14" s="50">
        <f>F14*G14</f>
        <v>0</v>
      </c>
      <c r="BK14" s="50"/>
      <c r="BL14" s="50">
        <v>13</v>
      </c>
      <c r="BW14" s="50">
        <v>21</v>
      </c>
      <c r="BX14" s="3" t="s">
        <v>114</v>
      </c>
    </row>
    <row r="15" spans="1:76" ht="14.4" x14ac:dyDescent="0.3">
      <c r="A15" s="53"/>
      <c r="C15" s="54" t="s">
        <v>120</v>
      </c>
      <c r="D15" s="54" t="s">
        <v>4</v>
      </c>
      <c r="F15" s="55">
        <v>32.094999999999999</v>
      </c>
      <c r="K15" s="56"/>
    </row>
    <row r="16" spans="1:76" ht="14.4" x14ac:dyDescent="0.3">
      <c r="A16" s="53"/>
      <c r="C16" s="54" t="s">
        <v>121</v>
      </c>
      <c r="D16" s="54" t="s">
        <v>4</v>
      </c>
      <c r="F16" s="55">
        <v>19.600000000000001</v>
      </c>
      <c r="K16" s="56"/>
    </row>
    <row r="17" spans="1:76" ht="14.4" x14ac:dyDescent="0.3">
      <c r="A17" s="53"/>
      <c r="C17" s="54" t="s">
        <v>122</v>
      </c>
      <c r="D17" s="54" t="s">
        <v>4</v>
      </c>
      <c r="F17" s="55">
        <v>29.0472</v>
      </c>
      <c r="K17" s="56"/>
    </row>
    <row r="18" spans="1:76" ht="14.4" x14ac:dyDescent="0.3">
      <c r="A18" s="53"/>
      <c r="C18" s="54" t="s">
        <v>123</v>
      </c>
      <c r="D18" s="54" t="s">
        <v>4</v>
      </c>
      <c r="F18" s="55">
        <v>21.75</v>
      </c>
      <c r="K18" s="56"/>
    </row>
    <row r="19" spans="1:76" ht="14.4" x14ac:dyDescent="0.3">
      <c r="A19" s="53"/>
      <c r="C19" s="54" t="s">
        <v>124</v>
      </c>
      <c r="D19" s="54" t="s">
        <v>4</v>
      </c>
      <c r="F19" s="55">
        <v>49.244999999999997</v>
      </c>
      <c r="K19" s="56"/>
    </row>
    <row r="20" spans="1:76" ht="14.4" x14ac:dyDescent="0.3">
      <c r="A20" s="53"/>
      <c r="C20" s="54" t="s">
        <v>125</v>
      </c>
      <c r="D20" s="54" t="s">
        <v>4</v>
      </c>
      <c r="F20" s="55">
        <v>15.6546</v>
      </c>
      <c r="K20" s="56"/>
    </row>
    <row r="21" spans="1:76" ht="14.4" x14ac:dyDescent="0.3">
      <c r="A21" s="53"/>
      <c r="C21" s="54" t="s">
        <v>126</v>
      </c>
      <c r="D21" s="54" t="s">
        <v>4</v>
      </c>
      <c r="F21" s="55">
        <v>11.465999999999999</v>
      </c>
      <c r="K21" s="56"/>
    </row>
    <row r="22" spans="1:76" ht="14.4" x14ac:dyDescent="0.3">
      <c r="A22" s="53"/>
      <c r="C22" s="54" t="s">
        <v>127</v>
      </c>
      <c r="D22" s="54" t="s">
        <v>4</v>
      </c>
      <c r="F22" s="55">
        <v>6</v>
      </c>
      <c r="K22" s="56"/>
    </row>
    <row r="23" spans="1:76" ht="14.4" x14ac:dyDescent="0.3">
      <c r="A23" s="53"/>
      <c r="C23" s="54" t="s">
        <v>128</v>
      </c>
      <c r="D23" s="54" t="s">
        <v>129</v>
      </c>
      <c r="F23" s="55">
        <v>5.76</v>
      </c>
      <c r="K23" s="56"/>
    </row>
    <row r="24" spans="1:76" ht="14.4" x14ac:dyDescent="0.3">
      <c r="A24" s="53"/>
      <c r="C24" s="54" t="s">
        <v>130</v>
      </c>
      <c r="D24" s="54" t="s">
        <v>131</v>
      </c>
      <c r="F24" s="55">
        <v>61.44</v>
      </c>
      <c r="K24" s="56"/>
    </row>
    <row r="25" spans="1:76" ht="14.4" x14ac:dyDescent="0.3">
      <c r="A25" s="1" t="s">
        <v>132</v>
      </c>
      <c r="B25" s="2" t="s">
        <v>133</v>
      </c>
      <c r="C25" s="75" t="s">
        <v>134</v>
      </c>
      <c r="D25" s="70"/>
      <c r="E25" s="2" t="s">
        <v>115</v>
      </c>
      <c r="F25" s="50">
        <v>252.05779999999999</v>
      </c>
      <c r="G25" s="50">
        <v>0</v>
      </c>
      <c r="H25" s="50">
        <f>ROUND(F25*AO25,2)</f>
        <v>0</v>
      </c>
      <c r="I25" s="50">
        <f>ROUND(F25*AP25,2)</f>
        <v>0</v>
      </c>
      <c r="J25" s="50">
        <f>ROUND(F25*G25,2)</f>
        <v>0</v>
      </c>
      <c r="K25" s="51" t="s">
        <v>116</v>
      </c>
      <c r="Z25" s="50">
        <f>ROUND(IF(AQ25="5",BJ25,0),2)</f>
        <v>0</v>
      </c>
      <c r="AB25" s="50">
        <f>ROUND(IF(AQ25="1",BH25,0),2)</f>
        <v>0</v>
      </c>
      <c r="AC25" s="50">
        <f>ROUND(IF(AQ25="1",BI25,0),2)</f>
        <v>0</v>
      </c>
      <c r="AD25" s="50">
        <f>ROUND(IF(AQ25="7",BH25,0),2)</f>
        <v>0</v>
      </c>
      <c r="AE25" s="50">
        <f>ROUND(IF(AQ25="7",BI25,0),2)</f>
        <v>0</v>
      </c>
      <c r="AF25" s="50">
        <f>ROUND(IF(AQ25="2",BH25,0),2)</f>
        <v>0</v>
      </c>
      <c r="AG25" s="50">
        <f>ROUND(IF(AQ25="2",BI25,0),2)</f>
        <v>0</v>
      </c>
      <c r="AH25" s="50">
        <f>ROUND(IF(AQ25="0",BJ25,0),2)</f>
        <v>0</v>
      </c>
      <c r="AI25" s="32" t="s">
        <v>4</v>
      </c>
      <c r="AJ25" s="50">
        <f>IF(AN25=0,J25,0)</f>
        <v>0</v>
      </c>
      <c r="AK25" s="50">
        <f>IF(AN25=12,J25,0)</f>
        <v>0</v>
      </c>
      <c r="AL25" s="50">
        <f>IF(AN25=21,J25,0)</f>
        <v>0</v>
      </c>
      <c r="AN25" s="50">
        <v>21</v>
      </c>
      <c r="AO25" s="50">
        <f>G25*0</f>
        <v>0</v>
      </c>
      <c r="AP25" s="50">
        <f>G25*(1-0)</f>
        <v>0</v>
      </c>
      <c r="AQ25" s="52" t="s">
        <v>112</v>
      </c>
      <c r="AV25" s="50">
        <f>ROUND(AW25+AX25,2)</f>
        <v>0</v>
      </c>
      <c r="AW25" s="50">
        <f>ROUND(F25*AO25,2)</f>
        <v>0</v>
      </c>
      <c r="AX25" s="50">
        <f>ROUND(F25*AP25,2)</f>
        <v>0</v>
      </c>
      <c r="AY25" s="52" t="s">
        <v>117</v>
      </c>
      <c r="AZ25" s="52" t="s">
        <v>118</v>
      </c>
      <c r="BA25" s="32" t="s">
        <v>119</v>
      </c>
      <c r="BC25" s="50">
        <f>AW25+AX25</f>
        <v>0</v>
      </c>
      <c r="BD25" s="50">
        <f>G25/(100-BE25)*100</f>
        <v>0</v>
      </c>
      <c r="BE25" s="50">
        <v>0</v>
      </c>
      <c r="BF25" s="50">
        <f>25</f>
        <v>25</v>
      </c>
      <c r="BH25" s="50">
        <f>F25*AO25</f>
        <v>0</v>
      </c>
      <c r="BI25" s="50">
        <f>F25*AP25</f>
        <v>0</v>
      </c>
      <c r="BJ25" s="50">
        <f>F25*G25</f>
        <v>0</v>
      </c>
      <c r="BK25" s="50"/>
      <c r="BL25" s="50">
        <v>13</v>
      </c>
      <c r="BW25" s="50">
        <v>21</v>
      </c>
      <c r="BX25" s="3" t="s">
        <v>134</v>
      </c>
    </row>
    <row r="26" spans="1:76" ht="14.4" x14ac:dyDescent="0.3">
      <c r="A26" s="53"/>
      <c r="C26" s="54" t="s">
        <v>120</v>
      </c>
      <c r="D26" s="54" t="s">
        <v>4</v>
      </c>
      <c r="F26" s="55">
        <v>32.094999999999999</v>
      </c>
      <c r="K26" s="56"/>
    </row>
    <row r="27" spans="1:76" ht="14.4" x14ac:dyDescent="0.3">
      <c r="A27" s="53"/>
      <c r="C27" s="54" t="s">
        <v>121</v>
      </c>
      <c r="D27" s="54" t="s">
        <v>4</v>
      </c>
      <c r="F27" s="55">
        <v>19.600000000000001</v>
      </c>
      <c r="K27" s="56"/>
    </row>
    <row r="28" spans="1:76" ht="14.4" x14ac:dyDescent="0.3">
      <c r="A28" s="53"/>
      <c r="C28" s="54" t="s">
        <v>122</v>
      </c>
      <c r="D28" s="54" t="s">
        <v>4</v>
      </c>
      <c r="F28" s="55">
        <v>29.0472</v>
      </c>
      <c r="K28" s="56"/>
    </row>
    <row r="29" spans="1:76" ht="14.4" x14ac:dyDescent="0.3">
      <c r="A29" s="53"/>
      <c r="C29" s="54" t="s">
        <v>123</v>
      </c>
      <c r="D29" s="54" t="s">
        <v>4</v>
      </c>
      <c r="F29" s="55">
        <v>21.75</v>
      </c>
      <c r="K29" s="56"/>
    </row>
    <row r="30" spans="1:76" ht="14.4" x14ac:dyDescent="0.3">
      <c r="A30" s="53"/>
      <c r="C30" s="54" t="s">
        <v>124</v>
      </c>
      <c r="D30" s="54" t="s">
        <v>4</v>
      </c>
      <c r="F30" s="55">
        <v>49.244999999999997</v>
      </c>
      <c r="K30" s="56"/>
    </row>
    <row r="31" spans="1:76" ht="14.4" x14ac:dyDescent="0.3">
      <c r="A31" s="53"/>
      <c r="C31" s="54" t="s">
        <v>125</v>
      </c>
      <c r="D31" s="54" t="s">
        <v>4</v>
      </c>
      <c r="F31" s="55">
        <v>15.6546</v>
      </c>
      <c r="K31" s="56"/>
    </row>
    <row r="32" spans="1:76" ht="14.4" x14ac:dyDescent="0.3">
      <c r="A32" s="53"/>
      <c r="C32" s="54" t="s">
        <v>126</v>
      </c>
      <c r="D32" s="54" t="s">
        <v>4</v>
      </c>
      <c r="F32" s="55">
        <v>11.465999999999999</v>
      </c>
      <c r="K32" s="56"/>
    </row>
    <row r="33" spans="1:76" ht="14.4" x14ac:dyDescent="0.3">
      <c r="A33" s="53"/>
      <c r="C33" s="54" t="s">
        <v>127</v>
      </c>
      <c r="D33" s="54" t="s">
        <v>4</v>
      </c>
      <c r="F33" s="55">
        <v>6</v>
      </c>
      <c r="K33" s="56"/>
    </row>
    <row r="34" spans="1:76" ht="14.4" x14ac:dyDescent="0.3">
      <c r="A34" s="53"/>
      <c r="C34" s="54" t="s">
        <v>128</v>
      </c>
      <c r="D34" s="54" t="s">
        <v>129</v>
      </c>
      <c r="F34" s="55">
        <v>5.76</v>
      </c>
      <c r="K34" s="56"/>
    </row>
    <row r="35" spans="1:76" ht="14.4" x14ac:dyDescent="0.3">
      <c r="A35" s="53"/>
      <c r="C35" s="54" t="s">
        <v>130</v>
      </c>
      <c r="D35" s="54" t="s">
        <v>131</v>
      </c>
      <c r="F35" s="55">
        <v>61.44</v>
      </c>
      <c r="K35" s="56"/>
    </row>
    <row r="36" spans="1:76" ht="14.4" x14ac:dyDescent="0.3">
      <c r="A36" s="1" t="s">
        <v>135</v>
      </c>
      <c r="B36" s="2" t="s">
        <v>136</v>
      </c>
      <c r="C36" s="75" t="s">
        <v>137</v>
      </c>
      <c r="D36" s="70"/>
      <c r="E36" s="2" t="s">
        <v>115</v>
      </c>
      <c r="F36" s="50">
        <v>0.50893999999999995</v>
      </c>
      <c r="G36" s="50">
        <v>0</v>
      </c>
      <c r="H36" s="50">
        <f>ROUND(F36*AO36,2)</f>
        <v>0</v>
      </c>
      <c r="I36" s="50">
        <f>ROUND(F36*AP36,2)</f>
        <v>0</v>
      </c>
      <c r="J36" s="50">
        <f>ROUND(F36*G36,2)</f>
        <v>0</v>
      </c>
      <c r="K36" s="51" t="s">
        <v>116</v>
      </c>
      <c r="Z36" s="50">
        <f>ROUND(IF(AQ36="5",BJ36,0),2)</f>
        <v>0</v>
      </c>
      <c r="AB36" s="50">
        <f>ROUND(IF(AQ36="1",BH36,0),2)</f>
        <v>0</v>
      </c>
      <c r="AC36" s="50">
        <f>ROUND(IF(AQ36="1",BI36,0),2)</f>
        <v>0</v>
      </c>
      <c r="AD36" s="50">
        <f>ROUND(IF(AQ36="7",BH36,0),2)</f>
        <v>0</v>
      </c>
      <c r="AE36" s="50">
        <f>ROUND(IF(AQ36="7",BI36,0),2)</f>
        <v>0</v>
      </c>
      <c r="AF36" s="50">
        <f>ROUND(IF(AQ36="2",BH36,0),2)</f>
        <v>0</v>
      </c>
      <c r="AG36" s="50">
        <f>ROUND(IF(AQ36="2",BI36,0),2)</f>
        <v>0</v>
      </c>
      <c r="AH36" s="50">
        <f>ROUND(IF(AQ36="0",BJ36,0),2)</f>
        <v>0</v>
      </c>
      <c r="AI36" s="32" t="s">
        <v>4</v>
      </c>
      <c r="AJ36" s="50">
        <f>IF(AN36=0,J36,0)</f>
        <v>0</v>
      </c>
      <c r="AK36" s="50">
        <f>IF(AN36=12,J36,0)</f>
        <v>0</v>
      </c>
      <c r="AL36" s="50">
        <f>IF(AN36=21,J36,0)</f>
        <v>0</v>
      </c>
      <c r="AN36" s="50">
        <v>21</v>
      </c>
      <c r="AO36" s="50">
        <f>G36*0</f>
        <v>0</v>
      </c>
      <c r="AP36" s="50">
        <f>G36*(1-0)</f>
        <v>0</v>
      </c>
      <c r="AQ36" s="52" t="s">
        <v>112</v>
      </c>
      <c r="AV36" s="50">
        <f>ROUND(AW36+AX36,2)</f>
        <v>0</v>
      </c>
      <c r="AW36" s="50">
        <f>ROUND(F36*AO36,2)</f>
        <v>0</v>
      </c>
      <c r="AX36" s="50">
        <f>ROUND(F36*AP36,2)</f>
        <v>0</v>
      </c>
      <c r="AY36" s="52" t="s">
        <v>117</v>
      </c>
      <c r="AZ36" s="52" t="s">
        <v>118</v>
      </c>
      <c r="BA36" s="32" t="s">
        <v>119</v>
      </c>
      <c r="BC36" s="50">
        <f>AW36+AX36</f>
        <v>0</v>
      </c>
      <c r="BD36" s="50">
        <f>G36/(100-BE36)*100</f>
        <v>0</v>
      </c>
      <c r="BE36" s="50">
        <v>0</v>
      </c>
      <c r="BF36" s="50">
        <f>36</f>
        <v>36</v>
      </c>
      <c r="BH36" s="50">
        <f>F36*AO36</f>
        <v>0</v>
      </c>
      <c r="BI36" s="50">
        <f>F36*AP36</f>
        <v>0</v>
      </c>
      <c r="BJ36" s="50">
        <f>F36*G36</f>
        <v>0</v>
      </c>
      <c r="BK36" s="50"/>
      <c r="BL36" s="50">
        <v>13</v>
      </c>
      <c r="BW36" s="50">
        <v>21</v>
      </c>
      <c r="BX36" s="3" t="s">
        <v>137</v>
      </c>
    </row>
    <row r="37" spans="1:76" ht="14.4" x14ac:dyDescent="0.3">
      <c r="A37" s="53"/>
      <c r="C37" s="54" t="s">
        <v>138</v>
      </c>
      <c r="D37" s="54" t="s">
        <v>139</v>
      </c>
      <c r="F37" s="55">
        <v>0.50893999999999995</v>
      </c>
      <c r="K37" s="56"/>
    </row>
    <row r="38" spans="1:76" ht="14.4" x14ac:dyDescent="0.3">
      <c r="A38" s="1" t="s">
        <v>140</v>
      </c>
      <c r="B38" s="2" t="s">
        <v>136</v>
      </c>
      <c r="C38" s="75" t="s">
        <v>137</v>
      </c>
      <c r="D38" s="70"/>
      <c r="E38" s="2" t="s">
        <v>115</v>
      </c>
      <c r="F38" s="50">
        <v>24.76</v>
      </c>
      <c r="G38" s="50">
        <v>0</v>
      </c>
      <c r="H38" s="50">
        <f>ROUND(F38*AO38,2)</f>
        <v>0</v>
      </c>
      <c r="I38" s="50">
        <f>ROUND(F38*AP38,2)</f>
        <v>0</v>
      </c>
      <c r="J38" s="50">
        <f>ROUND(F38*G38,2)</f>
        <v>0</v>
      </c>
      <c r="K38" s="51" t="s">
        <v>116</v>
      </c>
      <c r="Z38" s="50">
        <f>ROUND(IF(AQ38="5",BJ38,0),2)</f>
        <v>0</v>
      </c>
      <c r="AB38" s="50">
        <f>ROUND(IF(AQ38="1",BH38,0),2)</f>
        <v>0</v>
      </c>
      <c r="AC38" s="50">
        <f>ROUND(IF(AQ38="1",BI38,0),2)</f>
        <v>0</v>
      </c>
      <c r="AD38" s="50">
        <f>ROUND(IF(AQ38="7",BH38,0),2)</f>
        <v>0</v>
      </c>
      <c r="AE38" s="50">
        <f>ROUND(IF(AQ38="7",BI38,0),2)</f>
        <v>0</v>
      </c>
      <c r="AF38" s="50">
        <f>ROUND(IF(AQ38="2",BH38,0),2)</f>
        <v>0</v>
      </c>
      <c r="AG38" s="50">
        <f>ROUND(IF(AQ38="2",BI38,0),2)</f>
        <v>0</v>
      </c>
      <c r="AH38" s="50">
        <f>ROUND(IF(AQ38="0",BJ38,0),2)</f>
        <v>0</v>
      </c>
      <c r="AI38" s="32" t="s">
        <v>4</v>
      </c>
      <c r="AJ38" s="50">
        <f>IF(AN38=0,J38,0)</f>
        <v>0</v>
      </c>
      <c r="AK38" s="50">
        <f>IF(AN38=12,J38,0)</f>
        <v>0</v>
      </c>
      <c r="AL38" s="50">
        <f>IF(AN38=21,J38,0)</f>
        <v>0</v>
      </c>
      <c r="AN38" s="50">
        <v>21</v>
      </c>
      <c r="AO38" s="50">
        <f>G38*0</f>
        <v>0</v>
      </c>
      <c r="AP38" s="50">
        <f>G38*(1-0)</f>
        <v>0</v>
      </c>
      <c r="AQ38" s="52" t="s">
        <v>112</v>
      </c>
      <c r="AV38" s="50">
        <f>ROUND(AW38+AX38,2)</f>
        <v>0</v>
      </c>
      <c r="AW38" s="50">
        <f>ROUND(F38*AO38,2)</f>
        <v>0</v>
      </c>
      <c r="AX38" s="50">
        <f>ROUND(F38*AP38,2)</f>
        <v>0</v>
      </c>
      <c r="AY38" s="52" t="s">
        <v>117</v>
      </c>
      <c r="AZ38" s="52" t="s">
        <v>118</v>
      </c>
      <c r="BA38" s="32" t="s">
        <v>119</v>
      </c>
      <c r="BC38" s="50">
        <f>AW38+AX38</f>
        <v>0</v>
      </c>
      <c r="BD38" s="50">
        <f>G38/(100-BE38)*100</f>
        <v>0</v>
      </c>
      <c r="BE38" s="50">
        <v>0</v>
      </c>
      <c r="BF38" s="50">
        <f>38</f>
        <v>38</v>
      </c>
      <c r="BH38" s="50">
        <f>F38*AO38</f>
        <v>0</v>
      </c>
      <c r="BI38" s="50">
        <f>F38*AP38</f>
        <v>0</v>
      </c>
      <c r="BJ38" s="50">
        <f>F38*G38</f>
        <v>0</v>
      </c>
      <c r="BK38" s="50"/>
      <c r="BL38" s="50">
        <v>13</v>
      </c>
      <c r="BW38" s="50">
        <v>21</v>
      </c>
      <c r="BX38" s="3" t="s">
        <v>137</v>
      </c>
    </row>
    <row r="39" spans="1:76" ht="14.4" x14ac:dyDescent="0.3">
      <c r="A39" s="53"/>
      <c r="C39" s="54" t="s">
        <v>141</v>
      </c>
      <c r="D39" s="54" t="s">
        <v>142</v>
      </c>
      <c r="F39" s="55">
        <v>15.36</v>
      </c>
      <c r="K39" s="56"/>
    </row>
    <row r="40" spans="1:76" ht="14.4" x14ac:dyDescent="0.3">
      <c r="A40" s="53"/>
      <c r="C40" s="54" t="s">
        <v>143</v>
      </c>
      <c r="D40" s="54" t="s">
        <v>144</v>
      </c>
      <c r="F40" s="55">
        <v>1.4</v>
      </c>
      <c r="K40" s="56"/>
    </row>
    <row r="41" spans="1:76" ht="14.4" x14ac:dyDescent="0.3">
      <c r="A41" s="53"/>
      <c r="C41" s="54" t="s">
        <v>145</v>
      </c>
      <c r="D41" s="54" t="s">
        <v>146</v>
      </c>
      <c r="F41" s="55">
        <v>8</v>
      </c>
      <c r="K41" s="56"/>
    </row>
    <row r="42" spans="1:76" ht="14.4" x14ac:dyDescent="0.3">
      <c r="A42" s="1" t="s">
        <v>147</v>
      </c>
      <c r="B42" s="2" t="s">
        <v>148</v>
      </c>
      <c r="C42" s="75" t="s">
        <v>149</v>
      </c>
      <c r="D42" s="70"/>
      <c r="E42" s="2" t="s">
        <v>115</v>
      </c>
      <c r="F42" s="50">
        <v>24.76</v>
      </c>
      <c r="G42" s="50">
        <v>0</v>
      </c>
      <c r="H42" s="50">
        <f>ROUND(F42*AO42,2)</f>
        <v>0</v>
      </c>
      <c r="I42" s="50">
        <f>ROUND(F42*AP42,2)</f>
        <v>0</v>
      </c>
      <c r="J42" s="50">
        <f>ROUND(F42*G42,2)</f>
        <v>0</v>
      </c>
      <c r="K42" s="51" t="s">
        <v>116</v>
      </c>
      <c r="Z42" s="50">
        <f>ROUND(IF(AQ42="5",BJ42,0),2)</f>
        <v>0</v>
      </c>
      <c r="AB42" s="50">
        <f>ROUND(IF(AQ42="1",BH42,0),2)</f>
        <v>0</v>
      </c>
      <c r="AC42" s="50">
        <f>ROUND(IF(AQ42="1",BI42,0),2)</f>
        <v>0</v>
      </c>
      <c r="AD42" s="50">
        <f>ROUND(IF(AQ42="7",BH42,0),2)</f>
        <v>0</v>
      </c>
      <c r="AE42" s="50">
        <f>ROUND(IF(AQ42="7",BI42,0),2)</f>
        <v>0</v>
      </c>
      <c r="AF42" s="50">
        <f>ROUND(IF(AQ42="2",BH42,0),2)</f>
        <v>0</v>
      </c>
      <c r="AG42" s="50">
        <f>ROUND(IF(AQ42="2",BI42,0),2)</f>
        <v>0</v>
      </c>
      <c r="AH42" s="50">
        <f>ROUND(IF(AQ42="0",BJ42,0),2)</f>
        <v>0</v>
      </c>
      <c r="AI42" s="32" t="s">
        <v>4</v>
      </c>
      <c r="AJ42" s="50">
        <f>IF(AN42=0,J42,0)</f>
        <v>0</v>
      </c>
      <c r="AK42" s="50">
        <f>IF(AN42=12,J42,0)</f>
        <v>0</v>
      </c>
      <c r="AL42" s="50">
        <f>IF(AN42=21,J42,0)</f>
        <v>0</v>
      </c>
      <c r="AN42" s="50">
        <v>21</v>
      </c>
      <c r="AO42" s="50">
        <f>G42*0</f>
        <v>0</v>
      </c>
      <c r="AP42" s="50">
        <f>G42*(1-0)</f>
        <v>0</v>
      </c>
      <c r="AQ42" s="52" t="s">
        <v>112</v>
      </c>
      <c r="AV42" s="50">
        <f>ROUND(AW42+AX42,2)</f>
        <v>0</v>
      </c>
      <c r="AW42" s="50">
        <f>ROUND(F42*AO42,2)</f>
        <v>0</v>
      </c>
      <c r="AX42" s="50">
        <f>ROUND(F42*AP42,2)</f>
        <v>0</v>
      </c>
      <c r="AY42" s="52" t="s">
        <v>117</v>
      </c>
      <c r="AZ42" s="52" t="s">
        <v>118</v>
      </c>
      <c r="BA42" s="32" t="s">
        <v>119</v>
      </c>
      <c r="BC42" s="50">
        <f>AW42+AX42</f>
        <v>0</v>
      </c>
      <c r="BD42" s="50">
        <f>G42/(100-BE42)*100</f>
        <v>0</v>
      </c>
      <c r="BE42" s="50">
        <v>0</v>
      </c>
      <c r="BF42" s="50">
        <f>42</f>
        <v>42</v>
      </c>
      <c r="BH42" s="50">
        <f>F42*AO42</f>
        <v>0</v>
      </c>
      <c r="BI42" s="50">
        <f>F42*AP42</f>
        <v>0</v>
      </c>
      <c r="BJ42" s="50">
        <f>F42*G42</f>
        <v>0</v>
      </c>
      <c r="BK42" s="50"/>
      <c r="BL42" s="50">
        <v>13</v>
      </c>
      <c r="BW42" s="50">
        <v>21</v>
      </c>
      <c r="BX42" s="3" t="s">
        <v>149</v>
      </c>
    </row>
    <row r="43" spans="1:76" ht="14.4" x14ac:dyDescent="0.3">
      <c r="A43" s="53"/>
      <c r="C43" s="54" t="s">
        <v>141</v>
      </c>
      <c r="D43" s="54" t="s">
        <v>142</v>
      </c>
      <c r="F43" s="55">
        <v>15.36</v>
      </c>
      <c r="K43" s="56"/>
    </row>
    <row r="44" spans="1:76" ht="14.4" x14ac:dyDescent="0.3">
      <c r="A44" s="53"/>
      <c r="C44" s="54" t="s">
        <v>143</v>
      </c>
      <c r="D44" s="54" t="s">
        <v>144</v>
      </c>
      <c r="F44" s="55">
        <v>1.4</v>
      </c>
      <c r="K44" s="56"/>
    </row>
    <row r="45" spans="1:76" ht="14.4" x14ac:dyDescent="0.3">
      <c r="A45" s="53"/>
      <c r="C45" s="54" t="s">
        <v>145</v>
      </c>
      <c r="D45" s="54" t="s">
        <v>146</v>
      </c>
      <c r="F45" s="55">
        <v>8</v>
      </c>
      <c r="K45" s="56"/>
    </row>
    <row r="46" spans="1:76" ht="14.4" x14ac:dyDescent="0.3">
      <c r="A46" s="1" t="s">
        <v>150</v>
      </c>
      <c r="B46" s="2" t="s">
        <v>151</v>
      </c>
      <c r="C46" s="75" t="s">
        <v>152</v>
      </c>
      <c r="D46" s="70"/>
      <c r="E46" s="2" t="s">
        <v>115</v>
      </c>
      <c r="F46" s="50">
        <v>38.979999999999997</v>
      </c>
      <c r="G46" s="50">
        <v>0</v>
      </c>
      <c r="H46" s="50">
        <f>ROUND(F46*AO46,2)</f>
        <v>0</v>
      </c>
      <c r="I46" s="50">
        <f>ROUND(F46*AP46,2)</f>
        <v>0</v>
      </c>
      <c r="J46" s="50">
        <f>ROUND(F46*G46,2)</f>
        <v>0</v>
      </c>
      <c r="K46" s="51" t="s">
        <v>116</v>
      </c>
      <c r="Z46" s="50">
        <f>ROUND(IF(AQ46="5",BJ46,0),2)</f>
        <v>0</v>
      </c>
      <c r="AB46" s="50">
        <f>ROUND(IF(AQ46="1",BH46,0),2)</f>
        <v>0</v>
      </c>
      <c r="AC46" s="50">
        <f>ROUND(IF(AQ46="1",BI46,0),2)</f>
        <v>0</v>
      </c>
      <c r="AD46" s="50">
        <f>ROUND(IF(AQ46="7",BH46,0),2)</f>
        <v>0</v>
      </c>
      <c r="AE46" s="50">
        <f>ROUND(IF(AQ46="7",BI46,0),2)</f>
        <v>0</v>
      </c>
      <c r="AF46" s="50">
        <f>ROUND(IF(AQ46="2",BH46,0),2)</f>
        <v>0</v>
      </c>
      <c r="AG46" s="50">
        <f>ROUND(IF(AQ46="2",BI46,0),2)</f>
        <v>0</v>
      </c>
      <c r="AH46" s="50">
        <f>ROUND(IF(AQ46="0",BJ46,0),2)</f>
        <v>0</v>
      </c>
      <c r="AI46" s="32" t="s">
        <v>4</v>
      </c>
      <c r="AJ46" s="50">
        <f>IF(AN46=0,J46,0)</f>
        <v>0</v>
      </c>
      <c r="AK46" s="50">
        <f>IF(AN46=12,J46,0)</f>
        <v>0</v>
      </c>
      <c r="AL46" s="50">
        <f>IF(AN46=21,J46,0)</f>
        <v>0</v>
      </c>
      <c r="AN46" s="50">
        <v>21</v>
      </c>
      <c r="AO46" s="50">
        <f>G46*0</f>
        <v>0</v>
      </c>
      <c r="AP46" s="50">
        <f>G46*(1-0)</f>
        <v>0</v>
      </c>
      <c r="AQ46" s="52" t="s">
        <v>112</v>
      </c>
      <c r="AV46" s="50">
        <f>ROUND(AW46+AX46,2)</f>
        <v>0</v>
      </c>
      <c r="AW46" s="50">
        <f>ROUND(F46*AO46,2)</f>
        <v>0</v>
      </c>
      <c r="AX46" s="50">
        <f>ROUND(F46*AP46,2)</f>
        <v>0</v>
      </c>
      <c r="AY46" s="52" t="s">
        <v>117</v>
      </c>
      <c r="AZ46" s="52" t="s">
        <v>118</v>
      </c>
      <c r="BA46" s="32" t="s">
        <v>119</v>
      </c>
      <c r="BC46" s="50">
        <f>AW46+AX46</f>
        <v>0</v>
      </c>
      <c r="BD46" s="50">
        <f>G46/(100-BE46)*100</f>
        <v>0</v>
      </c>
      <c r="BE46" s="50">
        <v>0</v>
      </c>
      <c r="BF46" s="50">
        <f>46</f>
        <v>46</v>
      </c>
      <c r="BH46" s="50">
        <f>F46*AO46</f>
        <v>0</v>
      </c>
      <c r="BI46" s="50">
        <f>F46*AP46</f>
        <v>0</v>
      </c>
      <c r="BJ46" s="50">
        <f>F46*G46</f>
        <v>0</v>
      </c>
      <c r="BK46" s="50"/>
      <c r="BL46" s="50">
        <v>13</v>
      </c>
      <c r="BW46" s="50">
        <v>21</v>
      </c>
      <c r="BX46" s="3" t="s">
        <v>152</v>
      </c>
    </row>
    <row r="47" spans="1:76" ht="14.4" x14ac:dyDescent="0.3">
      <c r="A47" s="53"/>
      <c r="C47" s="54" t="s">
        <v>153</v>
      </c>
      <c r="D47" s="54" t="s">
        <v>154</v>
      </c>
      <c r="F47" s="55">
        <v>24.7</v>
      </c>
      <c r="K47" s="56"/>
    </row>
    <row r="48" spans="1:76" ht="14.4" x14ac:dyDescent="0.3">
      <c r="A48" s="53"/>
      <c r="C48" s="54" t="s">
        <v>155</v>
      </c>
      <c r="D48" s="54" t="s">
        <v>154</v>
      </c>
      <c r="F48" s="55">
        <v>7.8</v>
      </c>
      <c r="K48" s="56"/>
    </row>
    <row r="49" spans="1:76" ht="14.4" x14ac:dyDescent="0.3">
      <c r="A49" s="53"/>
      <c r="C49" s="54" t="s">
        <v>156</v>
      </c>
      <c r="D49" s="54" t="s">
        <v>157</v>
      </c>
      <c r="F49" s="55">
        <v>6.48</v>
      </c>
      <c r="K49" s="56"/>
    </row>
    <row r="50" spans="1:76" ht="14.4" x14ac:dyDescent="0.3">
      <c r="A50" s="1" t="s">
        <v>158</v>
      </c>
      <c r="B50" s="2" t="s">
        <v>159</v>
      </c>
      <c r="C50" s="75" t="s">
        <v>160</v>
      </c>
      <c r="D50" s="70"/>
      <c r="E50" s="2" t="s">
        <v>115</v>
      </c>
      <c r="F50" s="50">
        <v>38.979999999999997</v>
      </c>
      <c r="G50" s="50">
        <v>0</v>
      </c>
      <c r="H50" s="50">
        <f>ROUND(F50*AO50,2)</f>
        <v>0</v>
      </c>
      <c r="I50" s="50">
        <f>ROUND(F50*AP50,2)</f>
        <v>0</v>
      </c>
      <c r="J50" s="50">
        <f>ROUND(F50*G50,2)</f>
        <v>0</v>
      </c>
      <c r="K50" s="51" t="s">
        <v>116</v>
      </c>
      <c r="Z50" s="50">
        <f>ROUND(IF(AQ50="5",BJ50,0),2)</f>
        <v>0</v>
      </c>
      <c r="AB50" s="50">
        <f>ROUND(IF(AQ50="1",BH50,0),2)</f>
        <v>0</v>
      </c>
      <c r="AC50" s="50">
        <f>ROUND(IF(AQ50="1",BI50,0),2)</f>
        <v>0</v>
      </c>
      <c r="AD50" s="50">
        <f>ROUND(IF(AQ50="7",BH50,0),2)</f>
        <v>0</v>
      </c>
      <c r="AE50" s="50">
        <f>ROUND(IF(AQ50="7",BI50,0),2)</f>
        <v>0</v>
      </c>
      <c r="AF50" s="50">
        <f>ROUND(IF(AQ50="2",BH50,0),2)</f>
        <v>0</v>
      </c>
      <c r="AG50" s="50">
        <f>ROUND(IF(AQ50="2",BI50,0),2)</f>
        <v>0</v>
      </c>
      <c r="AH50" s="50">
        <f>ROUND(IF(AQ50="0",BJ50,0),2)</f>
        <v>0</v>
      </c>
      <c r="AI50" s="32" t="s">
        <v>4</v>
      </c>
      <c r="AJ50" s="50">
        <f>IF(AN50=0,J50,0)</f>
        <v>0</v>
      </c>
      <c r="AK50" s="50">
        <f>IF(AN50=12,J50,0)</f>
        <v>0</v>
      </c>
      <c r="AL50" s="50">
        <f>IF(AN50=21,J50,0)</f>
        <v>0</v>
      </c>
      <c r="AN50" s="50">
        <v>21</v>
      </c>
      <c r="AO50" s="50">
        <f>G50*0</f>
        <v>0</v>
      </c>
      <c r="AP50" s="50">
        <f>G50*(1-0)</f>
        <v>0</v>
      </c>
      <c r="AQ50" s="52" t="s">
        <v>112</v>
      </c>
      <c r="AV50" s="50">
        <f>ROUND(AW50+AX50,2)</f>
        <v>0</v>
      </c>
      <c r="AW50" s="50">
        <f>ROUND(F50*AO50,2)</f>
        <v>0</v>
      </c>
      <c r="AX50" s="50">
        <f>ROUND(F50*AP50,2)</f>
        <v>0</v>
      </c>
      <c r="AY50" s="52" t="s">
        <v>117</v>
      </c>
      <c r="AZ50" s="52" t="s">
        <v>118</v>
      </c>
      <c r="BA50" s="32" t="s">
        <v>119</v>
      </c>
      <c r="BC50" s="50">
        <f>AW50+AX50</f>
        <v>0</v>
      </c>
      <c r="BD50" s="50">
        <f>G50/(100-BE50)*100</f>
        <v>0</v>
      </c>
      <c r="BE50" s="50">
        <v>0</v>
      </c>
      <c r="BF50" s="50">
        <f>50</f>
        <v>50</v>
      </c>
      <c r="BH50" s="50">
        <f>F50*AO50</f>
        <v>0</v>
      </c>
      <c r="BI50" s="50">
        <f>F50*AP50</f>
        <v>0</v>
      </c>
      <c r="BJ50" s="50">
        <f>F50*G50</f>
        <v>0</v>
      </c>
      <c r="BK50" s="50"/>
      <c r="BL50" s="50">
        <v>13</v>
      </c>
      <c r="BW50" s="50">
        <v>21</v>
      </c>
      <c r="BX50" s="3" t="s">
        <v>160</v>
      </c>
    </row>
    <row r="51" spans="1:76" ht="14.4" x14ac:dyDescent="0.3">
      <c r="A51" s="53"/>
      <c r="C51" s="54" t="s">
        <v>153</v>
      </c>
      <c r="D51" s="54" t="s">
        <v>4</v>
      </c>
      <c r="F51" s="55">
        <v>24.7</v>
      </c>
      <c r="K51" s="56"/>
    </row>
    <row r="52" spans="1:76" ht="14.4" x14ac:dyDescent="0.3">
      <c r="A52" s="53"/>
      <c r="C52" s="54" t="s">
        <v>155</v>
      </c>
      <c r="D52" s="54" t="s">
        <v>4</v>
      </c>
      <c r="F52" s="55">
        <v>7.8</v>
      </c>
      <c r="K52" s="56"/>
    </row>
    <row r="53" spans="1:76" ht="14.4" x14ac:dyDescent="0.3">
      <c r="A53" s="53"/>
      <c r="C53" s="54" t="s">
        <v>156</v>
      </c>
      <c r="D53" s="54" t="s">
        <v>4</v>
      </c>
      <c r="F53" s="55">
        <v>6.48</v>
      </c>
      <c r="K53" s="56"/>
    </row>
    <row r="54" spans="1:76" ht="14.4" x14ac:dyDescent="0.3">
      <c r="A54" s="46" t="s">
        <v>4</v>
      </c>
      <c r="B54" s="47" t="s">
        <v>161</v>
      </c>
      <c r="C54" s="148" t="s">
        <v>162</v>
      </c>
      <c r="D54" s="149"/>
      <c r="E54" s="48" t="s">
        <v>74</v>
      </c>
      <c r="F54" s="48" t="s">
        <v>74</v>
      </c>
      <c r="G54" s="48" t="s">
        <v>74</v>
      </c>
      <c r="H54" s="26">
        <f>SUM(H55:H74)</f>
        <v>0</v>
      </c>
      <c r="I54" s="26">
        <f>SUM(I55:I74)</f>
        <v>0</v>
      </c>
      <c r="J54" s="26">
        <f>SUM(J55:J74)</f>
        <v>0</v>
      </c>
      <c r="K54" s="49" t="s">
        <v>4</v>
      </c>
      <c r="AI54" s="32" t="s">
        <v>4</v>
      </c>
      <c r="AS54" s="26">
        <f>SUM(AJ55:AJ74)</f>
        <v>0</v>
      </c>
      <c r="AT54" s="26">
        <f>SUM(AK55:AK74)</f>
        <v>0</v>
      </c>
      <c r="AU54" s="26">
        <f>SUM(AL55:AL74)</f>
        <v>0</v>
      </c>
    </row>
    <row r="55" spans="1:76" ht="14.4" x14ac:dyDescent="0.3">
      <c r="A55" s="1" t="s">
        <v>145</v>
      </c>
      <c r="B55" s="2" t="s">
        <v>163</v>
      </c>
      <c r="C55" s="75" t="s">
        <v>164</v>
      </c>
      <c r="D55" s="70"/>
      <c r="E55" s="2" t="s">
        <v>115</v>
      </c>
      <c r="F55" s="50">
        <v>315.7978</v>
      </c>
      <c r="G55" s="50">
        <v>0</v>
      </c>
      <c r="H55" s="50">
        <f>ROUND(F55*AO55,2)</f>
        <v>0</v>
      </c>
      <c r="I55" s="50">
        <f>ROUND(F55*AP55,2)</f>
        <v>0</v>
      </c>
      <c r="J55" s="50">
        <f>ROUND(F55*G55,2)</f>
        <v>0</v>
      </c>
      <c r="K55" s="51" t="s">
        <v>116</v>
      </c>
      <c r="Z55" s="50">
        <f>ROUND(IF(AQ55="5",BJ55,0),2)</f>
        <v>0</v>
      </c>
      <c r="AB55" s="50">
        <f>ROUND(IF(AQ55="1",BH55,0),2)</f>
        <v>0</v>
      </c>
      <c r="AC55" s="50">
        <f>ROUND(IF(AQ55="1",BI55,0),2)</f>
        <v>0</v>
      </c>
      <c r="AD55" s="50">
        <f>ROUND(IF(AQ55="7",BH55,0),2)</f>
        <v>0</v>
      </c>
      <c r="AE55" s="50">
        <f>ROUND(IF(AQ55="7",BI55,0),2)</f>
        <v>0</v>
      </c>
      <c r="AF55" s="50">
        <f>ROUND(IF(AQ55="2",BH55,0),2)</f>
        <v>0</v>
      </c>
      <c r="AG55" s="50">
        <f>ROUND(IF(AQ55="2",BI55,0),2)</f>
        <v>0</v>
      </c>
      <c r="AH55" s="50">
        <f>ROUND(IF(AQ55="0",BJ55,0),2)</f>
        <v>0</v>
      </c>
      <c r="AI55" s="32" t="s">
        <v>4</v>
      </c>
      <c r="AJ55" s="50">
        <f>IF(AN55=0,J55,0)</f>
        <v>0</v>
      </c>
      <c r="AK55" s="50">
        <f>IF(AN55=12,J55,0)</f>
        <v>0</v>
      </c>
      <c r="AL55" s="50">
        <f>IF(AN55=21,J55,0)</f>
        <v>0</v>
      </c>
      <c r="AN55" s="50">
        <v>21</v>
      </c>
      <c r="AO55" s="50">
        <f>G55*0</f>
        <v>0</v>
      </c>
      <c r="AP55" s="50">
        <f>G55*(1-0)</f>
        <v>0</v>
      </c>
      <c r="AQ55" s="52" t="s">
        <v>112</v>
      </c>
      <c r="AV55" s="50">
        <f>ROUND(AW55+AX55,2)</f>
        <v>0</v>
      </c>
      <c r="AW55" s="50">
        <f>ROUND(F55*AO55,2)</f>
        <v>0</v>
      </c>
      <c r="AX55" s="50">
        <f>ROUND(F55*AP55,2)</f>
        <v>0</v>
      </c>
      <c r="AY55" s="52" t="s">
        <v>165</v>
      </c>
      <c r="AZ55" s="52" t="s">
        <v>118</v>
      </c>
      <c r="BA55" s="32" t="s">
        <v>119</v>
      </c>
      <c r="BC55" s="50">
        <f>AW55+AX55</f>
        <v>0</v>
      </c>
      <c r="BD55" s="50">
        <f>G55/(100-BE55)*100</f>
        <v>0</v>
      </c>
      <c r="BE55" s="50">
        <v>0</v>
      </c>
      <c r="BF55" s="50">
        <f>55</f>
        <v>55</v>
      </c>
      <c r="BH55" s="50">
        <f>F55*AO55</f>
        <v>0</v>
      </c>
      <c r="BI55" s="50">
        <f>F55*AP55</f>
        <v>0</v>
      </c>
      <c r="BJ55" s="50">
        <f>F55*G55</f>
        <v>0</v>
      </c>
      <c r="BK55" s="50"/>
      <c r="BL55" s="50">
        <v>16</v>
      </c>
      <c r="BW55" s="50">
        <v>21</v>
      </c>
      <c r="BX55" s="3" t="s">
        <v>164</v>
      </c>
    </row>
    <row r="56" spans="1:76" ht="14.4" x14ac:dyDescent="0.3">
      <c r="A56" s="53"/>
      <c r="C56" s="54" t="s">
        <v>120</v>
      </c>
      <c r="D56" s="54" t="s">
        <v>4</v>
      </c>
      <c r="F56" s="55">
        <v>32.094999999999999</v>
      </c>
      <c r="K56" s="56"/>
    </row>
    <row r="57" spans="1:76" ht="14.4" x14ac:dyDescent="0.3">
      <c r="A57" s="53"/>
      <c r="C57" s="54" t="s">
        <v>121</v>
      </c>
      <c r="D57" s="54" t="s">
        <v>4</v>
      </c>
      <c r="F57" s="55">
        <v>19.600000000000001</v>
      </c>
      <c r="K57" s="56"/>
    </row>
    <row r="58" spans="1:76" ht="14.4" x14ac:dyDescent="0.3">
      <c r="A58" s="53"/>
      <c r="C58" s="54" t="s">
        <v>122</v>
      </c>
      <c r="D58" s="54" t="s">
        <v>4</v>
      </c>
      <c r="F58" s="55">
        <v>29.0472</v>
      </c>
      <c r="K58" s="56"/>
    </row>
    <row r="59" spans="1:76" ht="14.4" x14ac:dyDescent="0.3">
      <c r="A59" s="53"/>
      <c r="C59" s="54" t="s">
        <v>123</v>
      </c>
      <c r="D59" s="54" t="s">
        <v>4</v>
      </c>
      <c r="F59" s="55">
        <v>21.75</v>
      </c>
      <c r="K59" s="56"/>
    </row>
    <row r="60" spans="1:76" ht="14.4" x14ac:dyDescent="0.3">
      <c r="A60" s="53"/>
      <c r="C60" s="54" t="s">
        <v>124</v>
      </c>
      <c r="D60" s="54" t="s">
        <v>4</v>
      </c>
      <c r="F60" s="55">
        <v>49.244999999999997</v>
      </c>
      <c r="K60" s="56"/>
    </row>
    <row r="61" spans="1:76" ht="14.4" x14ac:dyDescent="0.3">
      <c r="A61" s="53"/>
      <c r="C61" s="54" t="s">
        <v>125</v>
      </c>
      <c r="D61" s="54" t="s">
        <v>4</v>
      </c>
      <c r="F61" s="55">
        <v>15.6546</v>
      </c>
      <c r="K61" s="56"/>
    </row>
    <row r="62" spans="1:76" ht="14.4" x14ac:dyDescent="0.3">
      <c r="A62" s="53"/>
      <c r="C62" s="54" t="s">
        <v>126</v>
      </c>
      <c r="D62" s="54" t="s">
        <v>4</v>
      </c>
      <c r="F62" s="55">
        <v>11.465999999999999</v>
      </c>
      <c r="K62" s="56"/>
    </row>
    <row r="63" spans="1:76" ht="14.4" x14ac:dyDescent="0.3">
      <c r="A63" s="53"/>
      <c r="C63" s="54" t="s">
        <v>127</v>
      </c>
      <c r="D63" s="54" t="s">
        <v>4</v>
      </c>
      <c r="F63" s="55">
        <v>6</v>
      </c>
      <c r="K63" s="56"/>
    </row>
    <row r="64" spans="1:76" ht="14.4" x14ac:dyDescent="0.3">
      <c r="A64" s="53"/>
      <c r="C64" s="54" t="s">
        <v>130</v>
      </c>
      <c r="D64" s="54" t="s">
        <v>131</v>
      </c>
      <c r="F64" s="55">
        <v>61.44</v>
      </c>
      <c r="K64" s="56"/>
    </row>
    <row r="65" spans="1:76" ht="14.4" x14ac:dyDescent="0.3">
      <c r="A65" s="53"/>
      <c r="C65" s="54" t="s">
        <v>128</v>
      </c>
      <c r="D65" s="54" t="s">
        <v>129</v>
      </c>
      <c r="F65" s="55">
        <v>5.76</v>
      </c>
      <c r="K65" s="56"/>
    </row>
    <row r="66" spans="1:76" ht="14.4" x14ac:dyDescent="0.3">
      <c r="A66" s="53"/>
      <c r="C66" s="54" t="s">
        <v>141</v>
      </c>
      <c r="D66" s="54" t="s">
        <v>142</v>
      </c>
      <c r="F66" s="55">
        <v>15.36</v>
      </c>
      <c r="K66" s="56"/>
    </row>
    <row r="67" spans="1:76" ht="14.4" x14ac:dyDescent="0.3">
      <c r="A67" s="53"/>
      <c r="C67" s="54" t="s">
        <v>143</v>
      </c>
      <c r="D67" s="54" t="s">
        <v>144</v>
      </c>
      <c r="F67" s="55">
        <v>1.4</v>
      </c>
      <c r="K67" s="56"/>
    </row>
    <row r="68" spans="1:76" ht="14.4" x14ac:dyDescent="0.3">
      <c r="A68" s="53"/>
      <c r="C68" s="54" t="s">
        <v>145</v>
      </c>
      <c r="D68" s="54" t="s">
        <v>146</v>
      </c>
      <c r="F68" s="55">
        <v>8</v>
      </c>
      <c r="K68" s="56"/>
    </row>
    <row r="69" spans="1:76" ht="14.4" x14ac:dyDescent="0.3">
      <c r="A69" s="53"/>
      <c r="C69" s="54" t="s">
        <v>153</v>
      </c>
      <c r="D69" s="54" t="s">
        <v>154</v>
      </c>
      <c r="F69" s="55">
        <v>24.7</v>
      </c>
      <c r="K69" s="56"/>
    </row>
    <row r="70" spans="1:76" ht="14.4" x14ac:dyDescent="0.3">
      <c r="A70" s="53"/>
      <c r="C70" s="54" t="s">
        <v>155</v>
      </c>
      <c r="D70" s="54" t="s">
        <v>154</v>
      </c>
      <c r="F70" s="55">
        <v>7.8</v>
      </c>
      <c r="K70" s="56"/>
    </row>
    <row r="71" spans="1:76" ht="14.4" x14ac:dyDescent="0.3">
      <c r="A71" s="53"/>
      <c r="C71" s="54" t="s">
        <v>156</v>
      </c>
      <c r="D71" s="54" t="s">
        <v>157</v>
      </c>
      <c r="F71" s="55">
        <v>6.48</v>
      </c>
      <c r="K71" s="56"/>
    </row>
    <row r="72" spans="1:76" ht="14.4" x14ac:dyDescent="0.3">
      <c r="A72" s="1" t="s">
        <v>166</v>
      </c>
      <c r="B72" s="2" t="s">
        <v>167</v>
      </c>
      <c r="C72" s="75" t="s">
        <v>168</v>
      </c>
      <c r="D72" s="70"/>
      <c r="E72" s="2" t="s">
        <v>115</v>
      </c>
      <c r="F72" s="50">
        <v>108.6</v>
      </c>
      <c r="G72" s="50">
        <v>0</v>
      </c>
      <c r="H72" s="50">
        <f>ROUND(F72*AO72,2)</f>
        <v>0</v>
      </c>
      <c r="I72" s="50">
        <f>ROUND(F72*AP72,2)</f>
        <v>0</v>
      </c>
      <c r="J72" s="50">
        <f>ROUND(F72*G72,2)</f>
        <v>0</v>
      </c>
      <c r="K72" s="51" t="s">
        <v>116</v>
      </c>
      <c r="Z72" s="50">
        <f>ROUND(IF(AQ72="5",BJ72,0),2)</f>
        <v>0</v>
      </c>
      <c r="AB72" s="50">
        <f>ROUND(IF(AQ72="1",BH72,0),2)</f>
        <v>0</v>
      </c>
      <c r="AC72" s="50">
        <f>ROUND(IF(AQ72="1",BI72,0),2)</f>
        <v>0</v>
      </c>
      <c r="AD72" s="50">
        <f>ROUND(IF(AQ72="7",BH72,0),2)</f>
        <v>0</v>
      </c>
      <c r="AE72" s="50">
        <f>ROUND(IF(AQ72="7",BI72,0),2)</f>
        <v>0</v>
      </c>
      <c r="AF72" s="50">
        <f>ROUND(IF(AQ72="2",BH72,0),2)</f>
        <v>0</v>
      </c>
      <c r="AG72" s="50">
        <f>ROUND(IF(AQ72="2",BI72,0),2)</f>
        <v>0</v>
      </c>
      <c r="AH72" s="50">
        <f>ROUND(IF(AQ72="0",BJ72,0),2)</f>
        <v>0</v>
      </c>
      <c r="AI72" s="32" t="s">
        <v>4</v>
      </c>
      <c r="AJ72" s="50">
        <f>IF(AN72=0,J72,0)</f>
        <v>0</v>
      </c>
      <c r="AK72" s="50">
        <f>IF(AN72=12,J72,0)</f>
        <v>0</v>
      </c>
      <c r="AL72" s="50">
        <f>IF(AN72=21,J72,0)</f>
        <v>0</v>
      </c>
      <c r="AN72" s="50">
        <v>21</v>
      </c>
      <c r="AO72" s="50">
        <f>G72*0</f>
        <v>0</v>
      </c>
      <c r="AP72" s="50">
        <f>G72*(1-0)</f>
        <v>0</v>
      </c>
      <c r="AQ72" s="52" t="s">
        <v>112</v>
      </c>
      <c r="AV72" s="50">
        <f>ROUND(AW72+AX72,2)</f>
        <v>0</v>
      </c>
      <c r="AW72" s="50">
        <f>ROUND(F72*AO72,2)</f>
        <v>0</v>
      </c>
      <c r="AX72" s="50">
        <f>ROUND(F72*AP72,2)</f>
        <v>0</v>
      </c>
      <c r="AY72" s="52" t="s">
        <v>165</v>
      </c>
      <c r="AZ72" s="52" t="s">
        <v>118</v>
      </c>
      <c r="BA72" s="32" t="s">
        <v>119</v>
      </c>
      <c r="BC72" s="50">
        <f>AW72+AX72</f>
        <v>0</v>
      </c>
      <c r="BD72" s="50">
        <f>G72/(100-BE72)*100</f>
        <v>0</v>
      </c>
      <c r="BE72" s="50">
        <v>0</v>
      </c>
      <c r="BF72" s="50">
        <f>72</f>
        <v>72</v>
      </c>
      <c r="BH72" s="50">
        <f>F72*AO72</f>
        <v>0</v>
      </c>
      <c r="BI72" s="50">
        <f>F72*AP72</f>
        <v>0</v>
      </c>
      <c r="BJ72" s="50">
        <f>F72*G72</f>
        <v>0</v>
      </c>
      <c r="BK72" s="50"/>
      <c r="BL72" s="50">
        <v>16</v>
      </c>
      <c r="BW72" s="50">
        <v>21</v>
      </c>
      <c r="BX72" s="3" t="s">
        <v>168</v>
      </c>
    </row>
    <row r="73" spans="1:76" ht="14.4" x14ac:dyDescent="0.3">
      <c r="A73" s="53"/>
      <c r="C73" s="54" t="s">
        <v>169</v>
      </c>
      <c r="D73" s="54" t="s">
        <v>4</v>
      </c>
      <c r="F73" s="55">
        <v>108.6</v>
      </c>
      <c r="K73" s="56"/>
    </row>
    <row r="74" spans="1:76" ht="14.4" x14ac:dyDescent="0.3">
      <c r="A74" s="1" t="s">
        <v>170</v>
      </c>
      <c r="B74" s="2" t="s">
        <v>171</v>
      </c>
      <c r="C74" s="75" t="s">
        <v>172</v>
      </c>
      <c r="D74" s="70"/>
      <c r="E74" s="2" t="s">
        <v>173</v>
      </c>
      <c r="F74" s="50">
        <v>162.9</v>
      </c>
      <c r="G74" s="50">
        <v>0</v>
      </c>
      <c r="H74" s="50">
        <f>ROUND(F74*AO74,2)</f>
        <v>0</v>
      </c>
      <c r="I74" s="50">
        <f>ROUND(F74*AP74,2)</f>
        <v>0</v>
      </c>
      <c r="J74" s="50">
        <f>ROUND(F74*G74,2)</f>
        <v>0</v>
      </c>
      <c r="K74" s="51" t="s">
        <v>116</v>
      </c>
      <c r="Z74" s="50">
        <f>ROUND(IF(AQ74="5",BJ74,0),2)</f>
        <v>0</v>
      </c>
      <c r="AB74" s="50">
        <f>ROUND(IF(AQ74="1",BH74,0),2)</f>
        <v>0</v>
      </c>
      <c r="AC74" s="50">
        <f>ROUND(IF(AQ74="1",BI74,0),2)</f>
        <v>0</v>
      </c>
      <c r="AD74" s="50">
        <f>ROUND(IF(AQ74="7",BH74,0),2)</f>
        <v>0</v>
      </c>
      <c r="AE74" s="50">
        <f>ROUND(IF(AQ74="7",BI74,0),2)</f>
        <v>0</v>
      </c>
      <c r="AF74" s="50">
        <f>ROUND(IF(AQ74="2",BH74,0),2)</f>
        <v>0</v>
      </c>
      <c r="AG74" s="50">
        <f>ROUND(IF(AQ74="2",BI74,0),2)</f>
        <v>0</v>
      </c>
      <c r="AH74" s="50">
        <f>ROUND(IF(AQ74="0",BJ74,0),2)</f>
        <v>0</v>
      </c>
      <c r="AI74" s="32" t="s">
        <v>4</v>
      </c>
      <c r="AJ74" s="50">
        <f>IF(AN74=0,J74,0)</f>
        <v>0</v>
      </c>
      <c r="AK74" s="50">
        <f>IF(AN74=12,J74,0)</f>
        <v>0</v>
      </c>
      <c r="AL74" s="50">
        <f>IF(AN74=21,J74,0)</f>
        <v>0</v>
      </c>
      <c r="AN74" s="50">
        <v>21</v>
      </c>
      <c r="AO74" s="50">
        <f>G74*0</f>
        <v>0</v>
      </c>
      <c r="AP74" s="50">
        <f>G74*(1-0)</f>
        <v>0</v>
      </c>
      <c r="AQ74" s="52" t="s">
        <v>147</v>
      </c>
      <c r="AV74" s="50">
        <f>ROUND(AW74+AX74,2)</f>
        <v>0</v>
      </c>
      <c r="AW74" s="50">
        <f>ROUND(F74*AO74,2)</f>
        <v>0</v>
      </c>
      <c r="AX74" s="50">
        <f>ROUND(F74*AP74,2)</f>
        <v>0</v>
      </c>
      <c r="AY74" s="52" t="s">
        <v>165</v>
      </c>
      <c r="AZ74" s="52" t="s">
        <v>118</v>
      </c>
      <c r="BA74" s="32" t="s">
        <v>119</v>
      </c>
      <c r="BC74" s="50">
        <f>AW74+AX74</f>
        <v>0</v>
      </c>
      <c r="BD74" s="50">
        <f>G74/(100-BE74)*100</f>
        <v>0</v>
      </c>
      <c r="BE74" s="50">
        <v>0</v>
      </c>
      <c r="BF74" s="50">
        <f>74</f>
        <v>74</v>
      </c>
      <c r="BH74" s="50">
        <f>F74*AO74</f>
        <v>0</v>
      </c>
      <c r="BI74" s="50">
        <f>F74*AP74</f>
        <v>0</v>
      </c>
      <c r="BJ74" s="50">
        <f>F74*G74</f>
        <v>0</v>
      </c>
      <c r="BK74" s="50"/>
      <c r="BL74" s="50">
        <v>16</v>
      </c>
      <c r="BW74" s="50">
        <v>21</v>
      </c>
      <c r="BX74" s="3" t="s">
        <v>172</v>
      </c>
    </row>
    <row r="75" spans="1:76" ht="14.4" x14ac:dyDescent="0.3">
      <c r="A75" s="53"/>
      <c r="C75" s="54" t="s">
        <v>174</v>
      </c>
      <c r="D75" s="54" t="s">
        <v>4</v>
      </c>
      <c r="F75" s="55">
        <v>162.9</v>
      </c>
      <c r="K75" s="56"/>
    </row>
    <row r="76" spans="1:76" ht="14.4" x14ac:dyDescent="0.3">
      <c r="A76" s="46" t="s">
        <v>4</v>
      </c>
      <c r="B76" s="47" t="s">
        <v>175</v>
      </c>
      <c r="C76" s="148" t="s">
        <v>176</v>
      </c>
      <c r="D76" s="149"/>
      <c r="E76" s="48" t="s">
        <v>74</v>
      </c>
      <c r="F76" s="48" t="s">
        <v>74</v>
      </c>
      <c r="G76" s="48" t="s">
        <v>74</v>
      </c>
      <c r="H76" s="26">
        <f>SUM(H77:H97)</f>
        <v>0</v>
      </c>
      <c r="I76" s="26">
        <f>SUM(I77:I97)</f>
        <v>0</v>
      </c>
      <c r="J76" s="26">
        <f>SUM(J77:J97)</f>
        <v>0</v>
      </c>
      <c r="K76" s="49" t="s">
        <v>4</v>
      </c>
      <c r="AI76" s="32" t="s">
        <v>4</v>
      </c>
      <c r="AS76" s="26">
        <f>SUM(AJ77:AJ97)</f>
        <v>0</v>
      </c>
      <c r="AT76" s="26">
        <f>SUM(AK77:AK97)</f>
        <v>0</v>
      </c>
      <c r="AU76" s="26">
        <f>SUM(AL77:AL97)</f>
        <v>0</v>
      </c>
    </row>
    <row r="77" spans="1:76" ht="14.4" x14ac:dyDescent="0.3">
      <c r="A77" s="1" t="s">
        <v>177</v>
      </c>
      <c r="B77" s="2" t="s">
        <v>178</v>
      </c>
      <c r="C77" s="75" t="s">
        <v>179</v>
      </c>
      <c r="D77" s="70"/>
      <c r="E77" s="2" t="s">
        <v>115</v>
      </c>
      <c r="F77" s="50">
        <v>62.704500000000003</v>
      </c>
      <c r="G77" s="50">
        <v>0</v>
      </c>
      <c r="H77" s="50">
        <f>ROUND(F77*AO77,2)</f>
        <v>0</v>
      </c>
      <c r="I77" s="50">
        <f>ROUND(F77*AP77,2)</f>
        <v>0</v>
      </c>
      <c r="J77" s="50">
        <f>ROUND(F77*G77,2)</f>
        <v>0</v>
      </c>
      <c r="K77" s="51" t="s">
        <v>116</v>
      </c>
      <c r="Z77" s="50">
        <f>ROUND(IF(AQ77="5",BJ77,0),2)</f>
        <v>0</v>
      </c>
      <c r="AB77" s="50">
        <f>ROUND(IF(AQ77="1",BH77,0),2)</f>
        <v>0</v>
      </c>
      <c r="AC77" s="50">
        <f>ROUND(IF(AQ77="1",BI77,0),2)</f>
        <v>0</v>
      </c>
      <c r="AD77" s="50">
        <f>ROUND(IF(AQ77="7",BH77,0),2)</f>
        <v>0</v>
      </c>
      <c r="AE77" s="50">
        <f>ROUND(IF(AQ77="7",BI77,0),2)</f>
        <v>0</v>
      </c>
      <c r="AF77" s="50">
        <f>ROUND(IF(AQ77="2",BH77,0),2)</f>
        <v>0</v>
      </c>
      <c r="AG77" s="50">
        <f>ROUND(IF(AQ77="2",BI77,0),2)</f>
        <v>0</v>
      </c>
      <c r="AH77" s="50">
        <f>ROUND(IF(AQ77="0",BJ77,0),2)</f>
        <v>0</v>
      </c>
      <c r="AI77" s="32" t="s">
        <v>4</v>
      </c>
      <c r="AJ77" s="50">
        <f>IF(AN77=0,J77,0)</f>
        <v>0</v>
      </c>
      <c r="AK77" s="50">
        <f>IF(AN77=12,J77,0)</f>
        <v>0</v>
      </c>
      <c r="AL77" s="50">
        <f>IF(AN77=21,J77,0)</f>
        <v>0</v>
      </c>
      <c r="AN77" s="50">
        <v>21</v>
      </c>
      <c r="AO77" s="50">
        <f>G77*0</f>
        <v>0</v>
      </c>
      <c r="AP77" s="50">
        <f>G77*(1-0)</f>
        <v>0</v>
      </c>
      <c r="AQ77" s="52" t="s">
        <v>112</v>
      </c>
      <c r="AV77" s="50">
        <f>ROUND(AW77+AX77,2)</f>
        <v>0</v>
      </c>
      <c r="AW77" s="50">
        <f>ROUND(F77*AO77,2)</f>
        <v>0</v>
      </c>
      <c r="AX77" s="50">
        <f>ROUND(F77*AP77,2)</f>
        <v>0</v>
      </c>
      <c r="AY77" s="52" t="s">
        <v>180</v>
      </c>
      <c r="AZ77" s="52" t="s">
        <v>118</v>
      </c>
      <c r="BA77" s="32" t="s">
        <v>119</v>
      </c>
      <c r="BC77" s="50">
        <f>AW77+AX77</f>
        <v>0</v>
      </c>
      <c r="BD77" s="50">
        <f>G77/(100-BE77)*100</f>
        <v>0</v>
      </c>
      <c r="BE77" s="50">
        <v>0</v>
      </c>
      <c r="BF77" s="50">
        <f>77</f>
        <v>77</v>
      </c>
      <c r="BH77" s="50">
        <f>F77*AO77</f>
        <v>0</v>
      </c>
      <c r="BI77" s="50">
        <f>F77*AP77</f>
        <v>0</v>
      </c>
      <c r="BJ77" s="50">
        <f>F77*G77</f>
        <v>0</v>
      </c>
      <c r="BK77" s="50"/>
      <c r="BL77" s="50">
        <v>17</v>
      </c>
      <c r="BW77" s="50">
        <v>21</v>
      </c>
      <c r="BX77" s="3" t="s">
        <v>179</v>
      </c>
    </row>
    <row r="78" spans="1:76" ht="14.4" x14ac:dyDescent="0.3">
      <c r="A78" s="53"/>
      <c r="C78" s="54" t="s">
        <v>181</v>
      </c>
      <c r="D78" s="54" t="s">
        <v>182</v>
      </c>
      <c r="F78" s="55">
        <v>8.3780000000000001</v>
      </c>
      <c r="K78" s="56"/>
    </row>
    <row r="79" spans="1:76" ht="14.4" x14ac:dyDescent="0.3">
      <c r="A79" s="53"/>
      <c r="C79" s="54" t="s">
        <v>183</v>
      </c>
      <c r="D79" s="54" t="s">
        <v>182</v>
      </c>
      <c r="F79" s="55">
        <v>2.38</v>
      </c>
      <c r="K79" s="56"/>
    </row>
    <row r="80" spans="1:76" ht="14.4" x14ac:dyDescent="0.3">
      <c r="A80" s="53"/>
      <c r="C80" s="54" t="s">
        <v>184</v>
      </c>
      <c r="D80" s="54" t="s">
        <v>182</v>
      </c>
      <c r="F80" s="55">
        <v>2.0059999999999998</v>
      </c>
      <c r="K80" s="56"/>
    </row>
    <row r="81" spans="1:76" ht="14.4" x14ac:dyDescent="0.3">
      <c r="A81" s="53"/>
      <c r="C81" s="54" t="s">
        <v>185</v>
      </c>
      <c r="D81" s="54" t="s">
        <v>182</v>
      </c>
      <c r="F81" s="55">
        <v>6.93</v>
      </c>
      <c r="K81" s="56"/>
    </row>
    <row r="82" spans="1:76" ht="14.4" x14ac:dyDescent="0.3">
      <c r="A82" s="53"/>
      <c r="C82" s="54" t="s">
        <v>186</v>
      </c>
      <c r="D82" s="54" t="s">
        <v>182</v>
      </c>
      <c r="F82" s="55">
        <v>5.4450000000000003</v>
      </c>
      <c r="K82" s="56"/>
    </row>
    <row r="83" spans="1:76" ht="14.4" x14ac:dyDescent="0.3">
      <c r="A83" s="53"/>
      <c r="C83" s="54" t="s">
        <v>187</v>
      </c>
      <c r="D83" s="54" t="s">
        <v>182</v>
      </c>
      <c r="F83" s="55">
        <v>2.4750000000000001</v>
      </c>
      <c r="K83" s="56"/>
    </row>
    <row r="84" spans="1:76" ht="14.4" x14ac:dyDescent="0.3">
      <c r="A84" s="53"/>
      <c r="C84" s="54" t="s">
        <v>188</v>
      </c>
      <c r="D84" s="54" t="s">
        <v>189</v>
      </c>
      <c r="F84" s="55">
        <v>21.483000000000001</v>
      </c>
      <c r="K84" s="56"/>
    </row>
    <row r="85" spans="1:76" ht="14.4" x14ac:dyDescent="0.3">
      <c r="A85" s="53"/>
      <c r="C85" s="54" t="s">
        <v>190</v>
      </c>
      <c r="D85" s="54" t="s">
        <v>189</v>
      </c>
      <c r="F85" s="55">
        <v>7.15</v>
      </c>
      <c r="K85" s="56"/>
    </row>
    <row r="86" spans="1:76" ht="14.4" x14ac:dyDescent="0.3">
      <c r="A86" s="53"/>
      <c r="C86" s="54" t="s">
        <v>191</v>
      </c>
      <c r="D86" s="54" t="s">
        <v>189</v>
      </c>
      <c r="F86" s="55">
        <v>6.4574999999999996</v>
      </c>
      <c r="K86" s="56"/>
    </row>
    <row r="87" spans="1:76" ht="14.4" x14ac:dyDescent="0.3">
      <c r="A87" s="1" t="s">
        <v>192</v>
      </c>
      <c r="B87" s="2" t="s">
        <v>193</v>
      </c>
      <c r="C87" s="75" t="s">
        <v>194</v>
      </c>
      <c r="D87" s="70"/>
      <c r="E87" s="2" t="s">
        <v>115</v>
      </c>
      <c r="F87" s="50">
        <v>55</v>
      </c>
      <c r="G87" s="50">
        <v>0</v>
      </c>
      <c r="H87" s="50">
        <f>ROUND(F87*AO87,2)</f>
        <v>0</v>
      </c>
      <c r="I87" s="50">
        <f>ROUND(F87*AP87,2)</f>
        <v>0</v>
      </c>
      <c r="J87" s="50">
        <f>ROUND(F87*G87,2)</f>
        <v>0</v>
      </c>
      <c r="K87" s="51" t="s">
        <v>116</v>
      </c>
      <c r="Z87" s="50">
        <f>ROUND(IF(AQ87="5",BJ87,0),2)</f>
        <v>0</v>
      </c>
      <c r="AB87" s="50">
        <f>ROUND(IF(AQ87="1",BH87,0),2)</f>
        <v>0</v>
      </c>
      <c r="AC87" s="50">
        <f>ROUND(IF(AQ87="1",BI87,0),2)</f>
        <v>0</v>
      </c>
      <c r="AD87" s="50">
        <f>ROUND(IF(AQ87="7",BH87,0),2)</f>
        <v>0</v>
      </c>
      <c r="AE87" s="50">
        <f>ROUND(IF(AQ87="7",BI87,0),2)</f>
        <v>0</v>
      </c>
      <c r="AF87" s="50">
        <f>ROUND(IF(AQ87="2",BH87,0),2)</f>
        <v>0</v>
      </c>
      <c r="AG87" s="50">
        <f>ROUND(IF(AQ87="2",BI87,0),2)</f>
        <v>0</v>
      </c>
      <c r="AH87" s="50">
        <f>ROUND(IF(AQ87="0",BJ87,0),2)</f>
        <v>0</v>
      </c>
      <c r="AI87" s="32" t="s">
        <v>4</v>
      </c>
      <c r="AJ87" s="50">
        <f>IF(AN87=0,J87,0)</f>
        <v>0</v>
      </c>
      <c r="AK87" s="50">
        <f>IF(AN87=12,J87,0)</f>
        <v>0</v>
      </c>
      <c r="AL87" s="50">
        <f>IF(AN87=21,J87,0)</f>
        <v>0</v>
      </c>
      <c r="AN87" s="50">
        <v>21</v>
      </c>
      <c r="AO87" s="50">
        <f>G87*0</f>
        <v>0</v>
      </c>
      <c r="AP87" s="50">
        <f>G87*(1-0)</f>
        <v>0</v>
      </c>
      <c r="AQ87" s="52" t="s">
        <v>112</v>
      </c>
      <c r="AV87" s="50">
        <f>ROUND(AW87+AX87,2)</f>
        <v>0</v>
      </c>
      <c r="AW87" s="50">
        <f>ROUND(F87*AO87,2)</f>
        <v>0</v>
      </c>
      <c r="AX87" s="50">
        <f>ROUND(F87*AP87,2)</f>
        <v>0</v>
      </c>
      <c r="AY87" s="52" t="s">
        <v>180</v>
      </c>
      <c r="AZ87" s="52" t="s">
        <v>118</v>
      </c>
      <c r="BA87" s="32" t="s">
        <v>119</v>
      </c>
      <c r="BC87" s="50">
        <f>AW87+AX87</f>
        <v>0</v>
      </c>
      <c r="BD87" s="50">
        <f>G87/(100-BE87)*100</f>
        <v>0</v>
      </c>
      <c r="BE87" s="50">
        <v>0</v>
      </c>
      <c r="BF87" s="50">
        <f>87</f>
        <v>87</v>
      </c>
      <c r="BH87" s="50">
        <f>F87*AO87</f>
        <v>0</v>
      </c>
      <c r="BI87" s="50">
        <f>F87*AP87</f>
        <v>0</v>
      </c>
      <c r="BJ87" s="50">
        <f>F87*G87</f>
        <v>0</v>
      </c>
      <c r="BK87" s="50"/>
      <c r="BL87" s="50">
        <v>17</v>
      </c>
      <c r="BW87" s="50">
        <v>21</v>
      </c>
      <c r="BX87" s="3" t="s">
        <v>194</v>
      </c>
    </row>
    <row r="88" spans="1:76" ht="14.4" x14ac:dyDescent="0.3">
      <c r="A88" s="53"/>
      <c r="C88" s="54" t="s">
        <v>195</v>
      </c>
      <c r="D88" s="54" t="s">
        <v>4</v>
      </c>
      <c r="F88" s="55">
        <v>54</v>
      </c>
      <c r="K88" s="56"/>
    </row>
    <row r="89" spans="1:76" ht="14.4" x14ac:dyDescent="0.3">
      <c r="A89" s="53"/>
      <c r="C89" s="54" t="s">
        <v>112</v>
      </c>
      <c r="D89" s="54" t="s">
        <v>146</v>
      </c>
      <c r="F89" s="55">
        <v>1</v>
      </c>
      <c r="K89" s="56"/>
    </row>
    <row r="90" spans="1:76" ht="14.4" x14ac:dyDescent="0.3">
      <c r="A90" s="1" t="s">
        <v>110</v>
      </c>
      <c r="B90" s="2" t="s">
        <v>196</v>
      </c>
      <c r="C90" s="75" t="s">
        <v>197</v>
      </c>
      <c r="D90" s="70"/>
      <c r="E90" s="2" t="s">
        <v>115</v>
      </c>
      <c r="F90" s="50">
        <v>31.72</v>
      </c>
      <c r="G90" s="50">
        <v>0</v>
      </c>
      <c r="H90" s="50">
        <f>ROUND(F90*AO90,2)</f>
        <v>0</v>
      </c>
      <c r="I90" s="50">
        <f>ROUND(F90*AP90,2)</f>
        <v>0</v>
      </c>
      <c r="J90" s="50">
        <f>ROUND(F90*G90,2)</f>
        <v>0</v>
      </c>
      <c r="K90" s="51" t="s">
        <v>116</v>
      </c>
      <c r="Z90" s="50">
        <f>ROUND(IF(AQ90="5",BJ90,0),2)</f>
        <v>0</v>
      </c>
      <c r="AB90" s="50">
        <f>ROUND(IF(AQ90="1",BH90,0),2)</f>
        <v>0</v>
      </c>
      <c r="AC90" s="50">
        <f>ROUND(IF(AQ90="1",BI90,0),2)</f>
        <v>0</v>
      </c>
      <c r="AD90" s="50">
        <f>ROUND(IF(AQ90="7",BH90,0),2)</f>
        <v>0</v>
      </c>
      <c r="AE90" s="50">
        <f>ROUND(IF(AQ90="7",BI90,0),2)</f>
        <v>0</v>
      </c>
      <c r="AF90" s="50">
        <f>ROUND(IF(AQ90="2",BH90,0),2)</f>
        <v>0</v>
      </c>
      <c r="AG90" s="50">
        <f>ROUND(IF(AQ90="2",BI90,0),2)</f>
        <v>0</v>
      </c>
      <c r="AH90" s="50">
        <f>ROUND(IF(AQ90="0",BJ90,0),2)</f>
        <v>0</v>
      </c>
      <c r="AI90" s="32" t="s">
        <v>4</v>
      </c>
      <c r="AJ90" s="50">
        <f>IF(AN90=0,J90,0)</f>
        <v>0</v>
      </c>
      <c r="AK90" s="50">
        <f>IF(AN90=12,J90,0)</f>
        <v>0</v>
      </c>
      <c r="AL90" s="50">
        <f>IF(AN90=21,J90,0)</f>
        <v>0</v>
      </c>
      <c r="AN90" s="50">
        <v>21</v>
      </c>
      <c r="AO90" s="50">
        <f>G90*0.4964268</f>
        <v>0</v>
      </c>
      <c r="AP90" s="50">
        <f>G90*(1-0.4964268)</f>
        <v>0</v>
      </c>
      <c r="AQ90" s="52" t="s">
        <v>112</v>
      </c>
      <c r="AV90" s="50">
        <f>ROUND(AW90+AX90,2)</f>
        <v>0</v>
      </c>
      <c r="AW90" s="50">
        <f>ROUND(F90*AO90,2)</f>
        <v>0</v>
      </c>
      <c r="AX90" s="50">
        <f>ROUND(F90*AP90,2)</f>
        <v>0</v>
      </c>
      <c r="AY90" s="52" t="s">
        <v>180</v>
      </c>
      <c r="AZ90" s="52" t="s">
        <v>118</v>
      </c>
      <c r="BA90" s="32" t="s">
        <v>119</v>
      </c>
      <c r="BC90" s="50">
        <f>AW90+AX90</f>
        <v>0</v>
      </c>
      <c r="BD90" s="50">
        <f>G90/(100-BE90)*100</f>
        <v>0</v>
      </c>
      <c r="BE90" s="50">
        <v>0</v>
      </c>
      <c r="BF90" s="50">
        <f>90</f>
        <v>90</v>
      </c>
      <c r="BH90" s="50">
        <f>F90*AO90</f>
        <v>0</v>
      </c>
      <c r="BI90" s="50">
        <f>F90*AP90</f>
        <v>0</v>
      </c>
      <c r="BJ90" s="50">
        <f>F90*G90</f>
        <v>0</v>
      </c>
      <c r="BK90" s="50"/>
      <c r="BL90" s="50">
        <v>17</v>
      </c>
      <c r="BW90" s="50">
        <v>21</v>
      </c>
      <c r="BX90" s="3" t="s">
        <v>197</v>
      </c>
    </row>
    <row r="91" spans="1:76" ht="13.5" customHeight="1" x14ac:dyDescent="0.3">
      <c r="A91" s="53"/>
      <c r="B91" s="57" t="s">
        <v>198</v>
      </c>
      <c r="C91" s="150" t="s">
        <v>199</v>
      </c>
      <c r="D91" s="151"/>
      <c r="E91" s="151"/>
      <c r="F91" s="151"/>
      <c r="G91" s="151"/>
      <c r="H91" s="151"/>
      <c r="I91" s="151"/>
      <c r="J91" s="151"/>
      <c r="K91" s="152"/>
    </row>
    <row r="92" spans="1:76" ht="14.4" x14ac:dyDescent="0.3">
      <c r="A92" s="53"/>
      <c r="C92" s="54" t="s">
        <v>200</v>
      </c>
      <c r="D92" s="54" t="s">
        <v>154</v>
      </c>
      <c r="F92" s="55">
        <v>3.8</v>
      </c>
      <c r="K92" s="56"/>
    </row>
    <row r="93" spans="1:76" ht="14.4" x14ac:dyDescent="0.3">
      <c r="A93" s="53"/>
      <c r="C93" s="54" t="s">
        <v>201</v>
      </c>
      <c r="D93" s="54" t="s">
        <v>154</v>
      </c>
      <c r="F93" s="55">
        <v>1.2</v>
      </c>
      <c r="K93" s="56"/>
    </row>
    <row r="94" spans="1:76" ht="14.4" x14ac:dyDescent="0.3">
      <c r="A94" s="53"/>
      <c r="C94" s="54" t="s">
        <v>202</v>
      </c>
      <c r="D94" s="54" t="s">
        <v>157</v>
      </c>
      <c r="F94" s="55">
        <v>4.32</v>
      </c>
      <c r="K94" s="56"/>
    </row>
    <row r="95" spans="1:76" ht="14.4" x14ac:dyDescent="0.3">
      <c r="A95" s="53"/>
      <c r="C95" s="54" t="s">
        <v>203</v>
      </c>
      <c r="D95" s="54" t="s">
        <v>129</v>
      </c>
      <c r="F95" s="55">
        <v>1.92</v>
      </c>
      <c r="K95" s="56"/>
    </row>
    <row r="96" spans="1:76" ht="14.4" x14ac:dyDescent="0.3">
      <c r="A96" s="53"/>
      <c r="C96" s="54" t="s">
        <v>204</v>
      </c>
      <c r="D96" s="54" t="s">
        <v>131</v>
      </c>
      <c r="F96" s="55">
        <v>20.48</v>
      </c>
      <c r="K96" s="56"/>
    </row>
    <row r="97" spans="1:76" ht="14.4" x14ac:dyDescent="0.3">
      <c r="A97" s="1" t="s">
        <v>205</v>
      </c>
      <c r="B97" s="2" t="s">
        <v>178</v>
      </c>
      <c r="C97" s="75" t="s">
        <v>179</v>
      </c>
      <c r="D97" s="70"/>
      <c r="E97" s="2" t="s">
        <v>115</v>
      </c>
      <c r="F97" s="50">
        <v>74.459999999999994</v>
      </c>
      <c r="G97" s="50">
        <v>0</v>
      </c>
      <c r="H97" s="50">
        <f>ROUND(F97*AO97,2)</f>
        <v>0</v>
      </c>
      <c r="I97" s="50">
        <f>ROUND(F97*AP97,2)</f>
        <v>0</v>
      </c>
      <c r="J97" s="50">
        <f>ROUND(F97*G97,2)</f>
        <v>0</v>
      </c>
      <c r="K97" s="51" t="s">
        <v>116</v>
      </c>
      <c r="Z97" s="50">
        <f>ROUND(IF(AQ97="5",BJ97,0),2)</f>
        <v>0</v>
      </c>
      <c r="AB97" s="50">
        <f>ROUND(IF(AQ97="1",BH97,0),2)</f>
        <v>0</v>
      </c>
      <c r="AC97" s="50">
        <f>ROUND(IF(AQ97="1",BI97,0),2)</f>
        <v>0</v>
      </c>
      <c r="AD97" s="50">
        <f>ROUND(IF(AQ97="7",BH97,0),2)</f>
        <v>0</v>
      </c>
      <c r="AE97" s="50">
        <f>ROUND(IF(AQ97="7",BI97,0),2)</f>
        <v>0</v>
      </c>
      <c r="AF97" s="50">
        <f>ROUND(IF(AQ97="2",BH97,0),2)</f>
        <v>0</v>
      </c>
      <c r="AG97" s="50">
        <f>ROUND(IF(AQ97="2",BI97,0),2)</f>
        <v>0</v>
      </c>
      <c r="AH97" s="50">
        <f>ROUND(IF(AQ97="0",BJ97,0),2)</f>
        <v>0</v>
      </c>
      <c r="AI97" s="32" t="s">
        <v>4</v>
      </c>
      <c r="AJ97" s="50">
        <f>IF(AN97=0,J97,0)</f>
        <v>0</v>
      </c>
      <c r="AK97" s="50">
        <f>IF(AN97=12,J97,0)</f>
        <v>0</v>
      </c>
      <c r="AL97" s="50">
        <f>IF(AN97=21,J97,0)</f>
        <v>0</v>
      </c>
      <c r="AN97" s="50">
        <v>21</v>
      </c>
      <c r="AO97" s="50">
        <f>G97*0</f>
        <v>0</v>
      </c>
      <c r="AP97" s="50">
        <f>G97*(1-0)</f>
        <v>0</v>
      </c>
      <c r="AQ97" s="52" t="s">
        <v>112</v>
      </c>
      <c r="AV97" s="50">
        <f>ROUND(AW97+AX97,2)</f>
        <v>0</v>
      </c>
      <c r="AW97" s="50">
        <f>ROUND(F97*AO97,2)</f>
        <v>0</v>
      </c>
      <c r="AX97" s="50">
        <f>ROUND(F97*AP97,2)</f>
        <v>0</v>
      </c>
      <c r="AY97" s="52" t="s">
        <v>180</v>
      </c>
      <c r="AZ97" s="52" t="s">
        <v>118</v>
      </c>
      <c r="BA97" s="32" t="s">
        <v>119</v>
      </c>
      <c r="BC97" s="50">
        <f>AW97+AX97</f>
        <v>0</v>
      </c>
      <c r="BD97" s="50">
        <f>G97/(100-BE97)*100</f>
        <v>0</v>
      </c>
      <c r="BE97" s="50">
        <v>0</v>
      </c>
      <c r="BF97" s="50">
        <f>97</f>
        <v>97</v>
      </c>
      <c r="BH97" s="50">
        <f>F97*AO97</f>
        <v>0</v>
      </c>
      <c r="BI97" s="50">
        <f>F97*AP97</f>
        <v>0</v>
      </c>
      <c r="BJ97" s="50">
        <f>F97*G97</f>
        <v>0</v>
      </c>
      <c r="BK97" s="50"/>
      <c r="BL97" s="50">
        <v>17</v>
      </c>
      <c r="BW97" s="50">
        <v>21</v>
      </c>
      <c r="BX97" s="3" t="s">
        <v>179</v>
      </c>
    </row>
    <row r="98" spans="1:76" ht="14.4" x14ac:dyDescent="0.3">
      <c r="A98" s="53"/>
      <c r="C98" s="54" t="s">
        <v>206</v>
      </c>
      <c r="D98" s="54" t="s">
        <v>154</v>
      </c>
      <c r="F98" s="55">
        <v>20.9</v>
      </c>
      <c r="K98" s="56"/>
    </row>
    <row r="99" spans="1:76" ht="14.4" x14ac:dyDescent="0.3">
      <c r="A99" s="53"/>
      <c r="C99" s="54" t="s">
        <v>207</v>
      </c>
      <c r="D99" s="54" t="s">
        <v>154</v>
      </c>
      <c r="F99" s="55">
        <v>6.6</v>
      </c>
      <c r="K99" s="56"/>
    </row>
    <row r="100" spans="1:76" ht="14.4" x14ac:dyDescent="0.3">
      <c r="A100" s="53"/>
      <c r="C100" s="54" t="s">
        <v>208</v>
      </c>
      <c r="D100" s="54" t="s">
        <v>157</v>
      </c>
      <c r="F100" s="55">
        <v>2.16</v>
      </c>
      <c r="K100" s="56"/>
    </row>
    <row r="101" spans="1:76" ht="14.4" x14ac:dyDescent="0.3">
      <c r="A101" s="53"/>
      <c r="C101" s="54" t="s">
        <v>209</v>
      </c>
      <c r="D101" s="54" t="s">
        <v>129</v>
      </c>
      <c r="F101" s="55">
        <v>3.84</v>
      </c>
      <c r="K101" s="56"/>
    </row>
    <row r="102" spans="1:76" ht="14.4" x14ac:dyDescent="0.3">
      <c r="A102" s="53"/>
      <c r="C102" s="54" t="s">
        <v>210</v>
      </c>
      <c r="D102" s="54" t="s">
        <v>131</v>
      </c>
      <c r="F102" s="55">
        <v>40.96</v>
      </c>
      <c r="K102" s="56"/>
    </row>
    <row r="103" spans="1:76" ht="14.4" x14ac:dyDescent="0.3">
      <c r="A103" s="46" t="s">
        <v>4</v>
      </c>
      <c r="B103" s="47" t="s">
        <v>211</v>
      </c>
      <c r="C103" s="148" t="s">
        <v>212</v>
      </c>
      <c r="D103" s="149"/>
      <c r="E103" s="48" t="s">
        <v>74</v>
      </c>
      <c r="F103" s="48" t="s">
        <v>74</v>
      </c>
      <c r="G103" s="48" t="s">
        <v>74</v>
      </c>
      <c r="H103" s="26">
        <f>SUM(H104:H106)</f>
        <v>0</v>
      </c>
      <c r="I103" s="26">
        <f>SUM(I104:I106)</f>
        <v>0</v>
      </c>
      <c r="J103" s="26">
        <f>SUM(J104:J106)</f>
        <v>0</v>
      </c>
      <c r="K103" s="49" t="s">
        <v>4</v>
      </c>
      <c r="AI103" s="32" t="s">
        <v>4</v>
      </c>
      <c r="AS103" s="26">
        <f>SUM(AJ104:AJ106)</f>
        <v>0</v>
      </c>
      <c r="AT103" s="26">
        <f>SUM(AK104:AK106)</f>
        <v>0</v>
      </c>
      <c r="AU103" s="26">
        <f>SUM(AL104:AL106)</f>
        <v>0</v>
      </c>
    </row>
    <row r="104" spans="1:76" ht="14.4" x14ac:dyDescent="0.3">
      <c r="A104" s="1" t="s">
        <v>213</v>
      </c>
      <c r="B104" s="2" t="s">
        <v>214</v>
      </c>
      <c r="C104" s="75" t="s">
        <v>215</v>
      </c>
      <c r="D104" s="70"/>
      <c r="E104" s="2" t="s">
        <v>216</v>
      </c>
      <c r="F104" s="50">
        <v>275</v>
      </c>
      <c r="G104" s="50">
        <v>0</v>
      </c>
      <c r="H104" s="50">
        <f>ROUND(F104*AO104,2)</f>
        <v>0</v>
      </c>
      <c r="I104" s="50">
        <f>ROUND(F104*AP104,2)</f>
        <v>0</v>
      </c>
      <c r="J104" s="50">
        <f>ROUND(F104*G104,2)</f>
        <v>0</v>
      </c>
      <c r="K104" s="51" t="s">
        <v>116</v>
      </c>
      <c r="Z104" s="50">
        <f>ROUND(IF(AQ104="5",BJ104,0),2)</f>
        <v>0</v>
      </c>
      <c r="AB104" s="50">
        <f>ROUND(IF(AQ104="1",BH104,0),2)</f>
        <v>0</v>
      </c>
      <c r="AC104" s="50">
        <f>ROUND(IF(AQ104="1",BI104,0),2)</f>
        <v>0</v>
      </c>
      <c r="AD104" s="50">
        <f>ROUND(IF(AQ104="7",BH104,0),2)</f>
        <v>0</v>
      </c>
      <c r="AE104" s="50">
        <f>ROUND(IF(AQ104="7",BI104,0),2)</f>
        <v>0</v>
      </c>
      <c r="AF104" s="50">
        <f>ROUND(IF(AQ104="2",BH104,0),2)</f>
        <v>0</v>
      </c>
      <c r="AG104" s="50">
        <f>ROUND(IF(AQ104="2",BI104,0),2)</f>
        <v>0</v>
      </c>
      <c r="AH104" s="50">
        <f>ROUND(IF(AQ104="0",BJ104,0),2)</f>
        <v>0</v>
      </c>
      <c r="AI104" s="32" t="s">
        <v>4</v>
      </c>
      <c r="AJ104" s="50">
        <f>IF(AN104=0,J104,0)</f>
        <v>0</v>
      </c>
      <c r="AK104" s="50">
        <f>IF(AN104=12,J104,0)</f>
        <v>0</v>
      </c>
      <c r="AL104" s="50">
        <f>IF(AN104=21,J104,0)</f>
        <v>0</v>
      </c>
      <c r="AN104" s="50">
        <v>21</v>
      </c>
      <c r="AO104" s="50">
        <f>G104*0</f>
        <v>0</v>
      </c>
      <c r="AP104" s="50">
        <f>G104*(1-0)</f>
        <v>0</v>
      </c>
      <c r="AQ104" s="52" t="s">
        <v>112</v>
      </c>
      <c r="AV104" s="50">
        <f>ROUND(AW104+AX104,2)</f>
        <v>0</v>
      </c>
      <c r="AW104" s="50">
        <f>ROUND(F104*AO104,2)</f>
        <v>0</v>
      </c>
      <c r="AX104" s="50">
        <f>ROUND(F104*AP104,2)</f>
        <v>0</v>
      </c>
      <c r="AY104" s="52" t="s">
        <v>217</v>
      </c>
      <c r="AZ104" s="52" t="s">
        <v>118</v>
      </c>
      <c r="BA104" s="32" t="s">
        <v>119</v>
      </c>
      <c r="BC104" s="50">
        <f>AW104+AX104</f>
        <v>0</v>
      </c>
      <c r="BD104" s="50">
        <f>G104/(100-BE104)*100</f>
        <v>0</v>
      </c>
      <c r="BE104" s="50">
        <v>0</v>
      </c>
      <c r="BF104" s="50">
        <f>104</f>
        <v>104</v>
      </c>
      <c r="BH104" s="50">
        <f>F104*AO104</f>
        <v>0</v>
      </c>
      <c r="BI104" s="50">
        <f>F104*AP104</f>
        <v>0</v>
      </c>
      <c r="BJ104" s="50">
        <f>F104*G104</f>
        <v>0</v>
      </c>
      <c r="BK104" s="50"/>
      <c r="BL104" s="50">
        <v>18</v>
      </c>
      <c r="BW104" s="50">
        <v>21</v>
      </c>
      <c r="BX104" s="3" t="s">
        <v>215</v>
      </c>
    </row>
    <row r="105" spans="1:76" ht="14.4" x14ac:dyDescent="0.3">
      <c r="A105" s="53"/>
      <c r="C105" s="54" t="s">
        <v>218</v>
      </c>
      <c r="D105" s="54" t="s">
        <v>4</v>
      </c>
      <c r="F105" s="55">
        <v>275</v>
      </c>
      <c r="K105" s="56"/>
    </row>
    <row r="106" spans="1:76" ht="14.4" x14ac:dyDescent="0.3">
      <c r="A106" s="1" t="s">
        <v>161</v>
      </c>
      <c r="B106" s="2" t="s">
        <v>219</v>
      </c>
      <c r="C106" s="75" t="s">
        <v>220</v>
      </c>
      <c r="D106" s="70"/>
      <c r="E106" s="2" t="s">
        <v>173</v>
      </c>
      <c r="F106" s="50">
        <v>44</v>
      </c>
      <c r="G106" s="50">
        <v>0</v>
      </c>
      <c r="H106" s="50">
        <f>ROUND(F106*AO106,2)</f>
        <v>0</v>
      </c>
      <c r="I106" s="50">
        <f>ROUND(F106*AP106,2)</f>
        <v>0</v>
      </c>
      <c r="J106" s="50">
        <f>ROUND(F106*G106,2)</f>
        <v>0</v>
      </c>
      <c r="K106" s="51" t="s">
        <v>116</v>
      </c>
      <c r="Z106" s="50">
        <f>ROUND(IF(AQ106="5",BJ106,0),2)</f>
        <v>0</v>
      </c>
      <c r="AB106" s="50">
        <f>ROUND(IF(AQ106="1",BH106,0),2)</f>
        <v>0</v>
      </c>
      <c r="AC106" s="50">
        <f>ROUND(IF(AQ106="1",BI106,0),2)</f>
        <v>0</v>
      </c>
      <c r="AD106" s="50">
        <f>ROUND(IF(AQ106="7",BH106,0),2)</f>
        <v>0</v>
      </c>
      <c r="AE106" s="50">
        <f>ROUND(IF(AQ106="7",BI106,0),2)</f>
        <v>0</v>
      </c>
      <c r="AF106" s="50">
        <f>ROUND(IF(AQ106="2",BH106,0),2)</f>
        <v>0</v>
      </c>
      <c r="AG106" s="50">
        <f>ROUND(IF(AQ106="2",BI106,0),2)</f>
        <v>0</v>
      </c>
      <c r="AH106" s="50">
        <f>ROUND(IF(AQ106="0",BJ106,0),2)</f>
        <v>0</v>
      </c>
      <c r="AI106" s="32" t="s">
        <v>4</v>
      </c>
      <c r="AJ106" s="50">
        <f>IF(AN106=0,J106,0)</f>
        <v>0</v>
      </c>
      <c r="AK106" s="50">
        <f>IF(AN106=12,J106,0)</f>
        <v>0</v>
      </c>
      <c r="AL106" s="50">
        <f>IF(AN106=21,J106,0)</f>
        <v>0</v>
      </c>
      <c r="AN106" s="50">
        <v>21</v>
      </c>
      <c r="AO106" s="50">
        <f>G106*1</f>
        <v>0</v>
      </c>
      <c r="AP106" s="50">
        <f>G106*(1-1)</f>
        <v>0</v>
      </c>
      <c r="AQ106" s="52" t="s">
        <v>112</v>
      </c>
      <c r="AV106" s="50">
        <f>ROUND(AW106+AX106,2)</f>
        <v>0</v>
      </c>
      <c r="AW106" s="50">
        <f>ROUND(F106*AO106,2)</f>
        <v>0</v>
      </c>
      <c r="AX106" s="50">
        <f>ROUND(F106*AP106,2)</f>
        <v>0</v>
      </c>
      <c r="AY106" s="52" t="s">
        <v>217</v>
      </c>
      <c r="AZ106" s="52" t="s">
        <v>118</v>
      </c>
      <c r="BA106" s="32" t="s">
        <v>119</v>
      </c>
      <c r="BC106" s="50">
        <f>AW106+AX106</f>
        <v>0</v>
      </c>
      <c r="BD106" s="50">
        <f>G106/(100-BE106)*100</f>
        <v>0</v>
      </c>
      <c r="BE106" s="50">
        <v>0</v>
      </c>
      <c r="BF106" s="50">
        <f>106</f>
        <v>106</v>
      </c>
      <c r="BH106" s="50">
        <f>F106*AO106</f>
        <v>0</v>
      </c>
      <c r="BI106" s="50">
        <f>F106*AP106</f>
        <v>0</v>
      </c>
      <c r="BJ106" s="50">
        <f>F106*G106</f>
        <v>0</v>
      </c>
      <c r="BK106" s="50"/>
      <c r="BL106" s="50">
        <v>18</v>
      </c>
      <c r="BW106" s="50">
        <v>21</v>
      </c>
      <c r="BX106" s="3" t="s">
        <v>220</v>
      </c>
    </row>
    <row r="107" spans="1:76" ht="14.4" x14ac:dyDescent="0.3">
      <c r="A107" s="53"/>
      <c r="C107" s="54" t="s">
        <v>221</v>
      </c>
      <c r="D107" s="54" t="s">
        <v>4</v>
      </c>
      <c r="F107" s="55">
        <v>44</v>
      </c>
      <c r="K107" s="56"/>
    </row>
    <row r="108" spans="1:76" ht="14.4" x14ac:dyDescent="0.3">
      <c r="A108" s="46" t="s">
        <v>4</v>
      </c>
      <c r="B108" s="47" t="s">
        <v>222</v>
      </c>
      <c r="C108" s="148" t="s">
        <v>223</v>
      </c>
      <c r="D108" s="149"/>
      <c r="E108" s="48" t="s">
        <v>74</v>
      </c>
      <c r="F108" s="48" t="s">
        <v>74</v>
      </c>
      <c r="G108" s="48" t="s">
        <v>74</v>
      </c>
      <c r="H108" s="26">
        <f>SUM(H109:H143)</f>
        <v>0</v>
      </c>
      <c r="I108" s="26">
        <f>SUM(I109:I143)</f>
        <v>0</v>
      </c>
      <c r="J108" s="26">
        <f>SUM(J109:J143)</f>
        <v>0</v>
      </c>
      <c r="K108" s="49" t="s">
        <v>4</v>
      </c>
      <c r="AI108" s="32" t="s">
        <v>4</v>
      </c>
      <c r="AS108" s="26">
        <f>SUM(AJ109:AJ143)</f>
        <v>0</v>
      </c>
      <c r="AT108" s="26">
        <f>SUM(AK109:AK143)</f>
        <v>0</v>
      </c>
      <c r="AU108" s="26">
        <f>SUM(AL109:AL143)</f>
        <v>0</v>
      </c>
    </row>
    <row r="109" spans="1:76" ht="14.4" x14ac:dyDescent="0.3">
      <c r="A109" s="1" t="s">
        <v>175</v>
      </c>
      <c r="B109" s="2" t="s">
        <v>224</v>
      </c>
      <c r="C109" s="75" t="s">
        <v>225</v>
      </c>
      <c r="D109" s="70"/>
      <c r="E109" s="2" t="s">
        <v>216</v>
      </c>
      <c r="F109" s="50">
        <v>69.69</v>
      </c>
      <c r="G109" s="50">
        <v>0</v>
      </c>
      <c r="H109" s="50">
        <f>ROUND(F109*AO109,2)</f>
        <v>0</v>
      </c>
      <c r="I109" s="50">
        <f>ROUND(F109*AP109,2)</f>
        <v>0</v>
      </c>
      <c r="J109" s="50">
        <f>ROUND(F109*G109,2)</f>
        <v>0</v>
      </c>
      <c r="K109" s="51" t="s">
        <v>116</v>
      </c>
      <c r="Z109" s="50">
        <f>ROUND(IF(AQ109="5",BJ109,0),2)</f>
        <v>0</v>
      </c>
      <c r="AB109" s="50">
        <f>ROUND(IF(AQ109="1",BH109,0),2)</f>
        <v>0</v>
      </c>
      <c r="AC109" s="50">
        <f>ROUND(IF(AQ109="1",BI109,0),2)</f>
        <v>0</v>
      </c>
      <c r="AD109" s="50">
        <f>ROUND(IF(AQ109="7",BH109,0),2)</f>
        <v>0</v>
      </c>
      <c r="AE109" s="50">
        <f>ROUND(IF(AQ109="7",BI109,0),2)</f>
        <v>0</v>
      </c>
      <c r="AF109" s="50">
        <f>ROUND(IF(AQ109="2",BH109,0),2)</f>
        <v>0</v>
      </c>
      <c r="AG109" s="50">
        <f>ROUND(IF(AQ109="2",BI109,0),2)</f>
        <v>0</v>
      </c>
      <c r="AH109" s="50">
        <f>ROUND(IF(AQ109="0",BJ109,0),2)</f>
        <v>0</v>
      </c>
      <c r="AI109" s="32" t="s">
        <v>4</v>
      </c>
      <c r="AJ109" s="50">
        <f>IF(AN109=0,J109,0)</f>
        <v>0</v>
      </c>
      <c r="AK109" s="50">
        <f>IF(AN109=12,J109,0)</f>
        <v>0</v>
      </c>
      <c r="AL109" s="50">
        <f>IF(AN109=21,J109,0)</f>
        <v>0</v>
      </c>
      <c r="AN109" s="50">
        <v>21</v>
      </c>
      <c r="AO109" s="50">
        <f>G109*0</f>
        <v>0</v>
      </c>
      <c r="AP109" s="50">
        <f>G109*(1-0)</f>
        <v>0</v>
      </c>
      <c r="AQ109" s="52" t="s">
        <v>112</v>
      </c>
      <c r="AV109" s="50">
        <f>ROUND(AW109+AX109,2)</f>
        <v>0</v>
      </c>
      <c r="AW109" s="50">
        <f>ROUND(F109*AO109,2)</f>
        <v>0</v>
      </c>
      <c r="AX109" s="50">
        <f>ROUND(F109*AP109,2)</f>
        <v>0</v>
      </c>
      <c r="AY109" s="52" t="s">
        <v>226</v>
      </c>
      <c r="AZ109" s="52" t="s">
        <v>227</v>
      </c>
      <c r="BA109" s="32" t="s">
        <v>119</v>
      </c>
      <c r="BC109" s="50">
        <f>AW109+AX109</f>
        <v>0</v>
      </c>
      <c r="BD109" s="50">
        <f>G109/(100-BE109)*100</f>
        <v>0</v>
      </c>
      <c r="BE109" s="50">
        <v>0</v>
      </c>
      <c r="BF109" s="50">
        <f>109</f>
        <v>109</v>
      </c>
      <c r="BH109" s="50">
        <f>F109*AO109</f>
        <v>0</v>
      </c>
      <c r="BI109" s="50">
        <f>F109*AP109</f>
        <v>0</v>
      </c>
      <c r="BJ109" s="50">
        <f>F109*G109</f>
        <v>0</v>
      </c>
      <c r="BK109" s="50"/>
      <c r="BL109" s="50">
        <v>21</v>
      </c>
      <c r="BW109" s="50">
        <v>21</v>
      </c>
      <c r="BX109" s="3" t="s">
        <v>225</v>
      </c>
    </row>
    <row r="110" spans="1:76" ht="13.5" customHeight="1" x14ac:dyDescent="0.3">
      <c r="A110" s="53"/>
      <c r="B110" s="57" t="s">
        <v>198</v>
      </c>
      <c r="C110" s="150" t="s">
        <v>228</v>
      </c>
      <c r="D110" s="151"/>
      <c r="E110" s="151"/>
      <c r="F110" s="151"/>
      <c r="G110" s="151"/>
      <c r="H110" s="151"/>
      <c r="I110" s="151"/>
      <c r="J110" s="151"/>
      <c r="K110" s="152"/>
    </row>
    <row r="111" spans="1:76" ht="14.4" x14ac:dyDescent="0.3">
      <c r="A111" s="53"/>
      <c r="C111" s="54" t="s">
        <v>229</v>
      </c>
      <c r="D111" s="54" t="s">
        <v>4</v>
      </c>
      <c r="F111" s="55">
        <v>58.463999999999999</v>
      </c>
      <c r="K111" s="56"/>
    </row>
    <row r="112" spans="1:76" ht="14.4" x14ac:dyDescent="0.3">
      <c r="A112" s="53"/>
      <c r="C112" s="54" t="s">
        <v>230</v>
      </c>
      <c r="D112" s="54" t="s">
        <v>4</v>
      </c>
      <c r="F112" s="55">
        <v>11.226000000000001</v>
      </c>
      <c r="K112" s="56"/>
    </row>
    <row r="113" spans="1:76" ht="14.4" x14ac:dyDescent="0.3">
      <c r="A113" s="1" t="s">
        <v>211</v>
      </c>
      <c r="B113" s="2" t="s">
        <v>231</v>
      </c>
      <c r="C113" s="75" t="s">
        <v>232</v>
      </c>
      <c r="D113" s="70"/>
      <c r="E113" s="2" t="s">
        <v>233</v>
      </c>
      <c r="F113" s="50">
        <v>33.33</v>
      </c>
      <c r="G113" s="50">
        <v>0</v>
      </c>
      <c r="H113" s="50">
        <f>ROUND(F113*AO113,2)</f>
        <v>0</v>
      </c>
      <c r="I113" s="50">
        <f>ROUND(F113*AP113,2)</f>
        <v>0</v>
      </c>
      <c r="J113" s="50">
        <f>ROUND(F113*G113,2)</f>
        <v>0</v>
      </c>
      <c r="K113" s="51" t="s">
        <v>116</v>
      </c>
      <c r="Z113" s="50">
        <f>ROUND(IF(AQ113="5",BJ113,0),2)</f>
        <v>0</v>
      </c>
      <c r="AB113" s="50">
        <f>ROUND(IF(AQ113="1",BH113,0),2)</f>
        <v>0</v>
      </c>
      <c r="AC113" s="50">
        <f>ROUND(IF(AQ113="1",BI113,0),2)</f>
        <v>0</v>
      </c>
      <c r="AD113" s="50">
        <f>ROUND(IF(AQ113="7",BH113,0),2)</f>
        <v>0</v>
      </c>
      <c r="AE113" s="50">
        <f>ROUND(IF(AQ113="7",BI113,0),2)</f>
        <v>0</v>
      </c>
      <c r="AF113" s="50">
        <f>ROUND(IF(AQ113="2",BH113,0),2)</f>
        <v>0</v>
      </c>
      <c r="AG113" s="50">
        <f>ROUND(IF(AQ113="2",BI113,0),2)</f>
        <v>0</v>
      </c>
      <c r="AH113" s="50">
        <f>ROUND(IF(AQ113="0",BJ113,0),2)</f>
        <v>0</v>
      </c>
      <c r="AI113" s="32" t="s">
        <v>4</v>
      </c>
      <c r="AJ113" s="50">
        <f>IF(AN113=0,J113,0)</f>
        <v>0</v>
      </c>
      <c r="AK113" s="50">
        <f>IF(AN113=12,J113,0)</f>
        <v>0</v>
      </c>
      <c r="AL113" s="50">
        <f>IF(AN113=21,J113,0)</f>
        <v>0</v>
      </c>
      <c r="AN113" s="50">
        <v>21</v>
      </c>
      <c r="AO113" s="50">
        <f>G113*0</f>
        <v>0</v>
      </c>
      <c r="AP113" s="50">
        <f>G113*(1-0)</f>
        <v>0</v>
      </c>
      <c r="AQ113" s="52" t="s">
        <v>112</v>
      </c>
      <c r="AV113" s="50">
        <f>ROUND(AW113+AX113,2)</f>
        <v>0</v>
      </c>
      <c r="AW113" s="50">
        <f>ROUND(F113*AO113,2)</f>
        <v>0</v>
      </c>
      <c r="AX113" s="50">
        <f>ROUND(F113*AP113,2)</f>
        <v>0</v>
      </c>
      <c r="AY113" s="52" t="s">
        <v>226</v>
      </c>
      <c r="AZ113" s="52" t="s">
        <v>227</v>
      </c>
      <c r="BA113" s="32" t="s">
        <v>119</v>
      </c>
      <c r="BC113" s="50">
        <f>AW113+AX113</f>
        <v>0</v>
      </c>
      <c r="BD113" s="50">
        <f>G113/(100-BE113)*100</f>
        <v>0</v>
      </c>
      <c r="BE113" s="50">
        <v>0</v>
      </c>
      <c r="BF113" s="50">
        <f>113</f>
        <v>113</v>
      </c>
      <c r="BH113" s="50">
        <f>F113*AO113</f>
        <v>0</v>
      </c>
      <c r="BI113" s="50">
        <f>F113*AP113</f>
        <v>0</v>
      </c>
      <c r="BJ113" s="50">
        <f>F113*G113</f>
        <v>0</v>
      </c>
      <c r="BK113" s="50"/>
      <c r="BL113" s="50">
        <v>21</v>
      </c>
      <c r="BW113" s="50">
        <v>21</v>
      </c>
      <c r="BX113" s="3" t="s">
        <v>232</v>
      </c>
    </row>
    <row r="114" spans="1:76" ht="14.4" x14ac:dyDescent="0.3">
      <c r="A114" s="53"/>
      <c r="C114" s="54" t="s">
        <v>234</v>
      </c>
      <c r="D114" s="54" t="s">
        <v>4</v>
      </c>
      <c r="F114" s="55">
        <v>33.33</v>
      </c>
      <c r="K114" s="56"/>
    </row>
    <row r="115" spans="1:76" ht="14.4" x14ac:dyDescent="0.3">
      <c r="A115" s="1" t="s">
        <v>235</v>
      </c>
      <c r="B115" s="2" t="s">
        <v>236</v>
      </c>
      <c r="C115" s="75" t="s">
        <v>237</v>
      </c>
      <c r="D115" s="70"/>
      <c r="E115" s="2" t="s">
        <v>233</v>
      </c>
      <c r="F115" s="50">
        <v>34.996499999999997</v>
      </c>
      <c r="G115" s="50">
        <v>0</v>
      </c>
      <c r="H115" s="50">
        <f>ROUND(F115*AO115,2)</f>
        <v>0</v>
      </c>
      <c r="I115" s="50">
        <f>ROUND(F115*AP115,2)</f>
        <v>0</v>
      </c>
      <c r="J115" s="50">
        <f>ROUND(F115*G115,2)</f>
        <v>0</v>
      </c>
      <c r="K115" s="51" t="s">
        <v>116</v>
      </c>
      <c r="Z115" s="50">
        <f>ROUND(IF(AQ115="5",BJ115,0),2)</f>
        <v>0</v>
      </c>
      <c r="AB115" s="50">
        <f>ROUND(IF(AQ115="1",BH115,0),2)</f>
        <v>0</v>
      </c>
      <c r="AC115" s="50">
        <f>ROUND(IF(AQ115="1",BI115,0),2)</f>
        <v>0</v>
      </c>
      <c r="AD115" s="50">
        <f>ROUND(IF(AQ115="7",BH115,0),2)</f>
        <v>0</v>
      </c>
      <c r="AE115" s="50">
        <f>ROUND(IF(AQ115="7",BI115,0),2)</f>
        <v>0</v>
      </c>
      <c r="AF115" s="50">
        <f>ROUND(IF(AQ115="2",BH115,0),2)</f>
        <v>0</v>
      </c>
      <c r="AG115" s="50">
        <f>ROUND(IF(AQ115="2",BI115,0),2)</f>
        <v>0</v>
      </c>
      <c r="AH115" s="50">
        <f>ROUND(IF(AQ115="0",BJ115,0),2)</f>
        <v>0</v>
      </c>
      <c r="AI115" s="32" t="s">
        <v>4</v>
      </c>
      <c r="AJ115" s="50">
        <f>IF(AN115=0,J115,0)</f>
        <v>0</v>
      </c>
      <c r="AK115" s="50">
        <f>IF(AN115=12,J115,0)</f>
        <v>0</v>
      </c>
      <c r="AL115" s="50">
        <f>IF(AN115=21,J115,0)</f>
        <v>0</v>
      </c>
      <c r="AN115" s="50">
        <v>21</v>
      </c>
      <c r="AO115" s="50">
        <f>G115*1</f>
        <v>0</v>
      </c>
      <c r="AP115" s="50">
        <f>G115*(1-1)</f>
        <v>0</v>
      </c>
      <c r="AQ115" s="52" t="s">
        <v>112</v>
      </c>
      <c r="AV115" s="50">
        <f>ROUND(AW115+AX115,2)</f>
        <v>0</v>
      </c>
      <c r="AW115" s="50">
        <f>ROUND(F115*AO115,2)</f>
        <v>0</v>
      </c>
      <c r="AX115" s="50">
        <f>ROUND(F115*AP115,2)</f>
        <v>0</v>
      </c>
      <c r="AY115" s="52" t="s">
        <v>226</v>
      </c>
      <c r="AZ115" s="52" t="s">
        <v>227</v>
      </c>
      <c r="BA115" s="32" t="s">
        <v>119</v>
      </c>
      <c r="BC115" s="50">
        <f>AW115+AX115</f>
        <v>0</v>
      </c>
      <c r="BD115" s="50">
        <f>G115/(100-BE115)*100</f>
        <v>0</v>
      </c>
      <c r="BE115" s="50">
        <v>0</v>
      </c>
      <c r="BF115" s="50">
        <f>115</f>
        <v>115</v>
      </c>
      <c r="BH115" s="50">
        <f>F115*AO115</f>
        <v>0</v>
      </c>
      <c r="BI115" s="50">
        <f>F115*AP115</f>
        <v>0</v>
      </c>
      <c r="BJ115" s="50">
        <f>F115*G115</f>
        <v>0</v>
      </c>
      <c r="BK115" s="50"/>
      <c r="BL115" s="50">
        <v>21</v>
      </c>
      <c r="BW115" s="50">
        <v>21</v>
      </c>
      <c r="BX115" s="3" t="s">
        <v>237</v>
      </c>
    </row>
    <row r="116" spans="1:76" ht="14.4" x14ac:dyDescent="0.3">
      <c r="A116" s="53"/>
      <c r="C116" s="54" t="s">
        <v>234</v>
      </c>
      <c r="D116" s="54" t="s">
        <v>4</v>
      </c>
      <c r="F116" s="55">
        <v>33.33</v>
      </c>
      <c r="K116" s="56"/>
    </row>
    <row r="117" spans="1:76" ht="14.4" x14ac:dyDescent="0.3">
      <c r="A117" s="53"/>
      <c r="C117" s="54" t="s">
        <v>238</v>
      </c>
      <c r="D117" s="54" t="s">
        <v>4</v>
      </c>
      <c r="F117" s="55">
        <v>1.6665000000000001</v>
      </c>
      <c r="K117" s="56"/>
    </row>
    <row r="118" spans="1:76" ht="14.4" x14ac:dyDescent="0.3">
      <c r="A118" s="1" t="s">
        <v>239</v>
      </c>
      <c r="B118" s="2" t="s">
        <v>240</v>
      </c>
      <c r="C118" s="75" t="s">
        <v>241</v>
      </c>
      <c r="D118" s="70"/>
      <c r="E118" s="2" t="s">
        <v>233</v>
      </c>
      <c r="F118" s="50">
        <v>10.4</v>
      </c>
      <c r="G118" s="50">
        <v>0</v>
      </c>
      <c r="H118" s="50">
        <f>ROUND(F118*AO118,2)</f>
        <v>0</v>
      </c>
      <c r="I118" s="50">
        <f>ROUND(F118*AP118,2)</f>
        <v>0</v>
      </c>
      <c r="J118" s="50">
        <f>ROUND(F118*G118,2)</f>
        <v>0</v>
      </c>
      <c r="K118" s="51" t="s">
        <v>116</v>
      </c>
      <c r="Z118" s="50">
        <f>ROUND(IF(AQ118="5",BJ118,0),2)</f>
        <v>0</v>
      </c>
      <c r="AB118" s="50">
        <f>ROUND(IF(AQ118="1",BH118,0),2)</f>
        <v>0</v>
      </c>
      <c r="AC118" s="50">
        <f>ROUND(IF(AQ118="1",BI118,0),2)</f>
        <v>0</v>
      </c>
      <c r="AD118" s="50">
        <f>ROUND(IF(AQ118="7",BH118,0),2)</f>
        <v>0</v>
      </c>
      <c r="AE118" s="50">
        <f>ROUND(IF(AQ118="7",BI118,0),2)</f>
        <v>0</v>
      </c>
      <c r="AF118" s="50">
        <f>ROUND(IF(AQ118="2",BH118,0),2)</f>
        <v>0</v>
      </c>
      <c r="AG118" s="50">
        <f>ROUND(IF(AQ118="2",BI118,0),2)</f>
        <v>0</v>
      </c>
      <c r="AH118" s="50">
        <f>ROUND(IF(AQ118="0",BJ118,0),2)</f>
        <v>0</v>
      </c>
      <c r="AI118" s="32" t="s">
        <v>4</v>
      </c>
      <c r="AJ118" s="50">
        <f>IF(AN118=0,J118,0)</f>
        <v>0</v>
      </c>
      <c r="AK118" s="50">
        <f>IF(AN118=12,J118,0)</f>
        <v>0</v>
      </c>
      <c r="AL118" s="50">
        <f>IF(AN118=21,J118,0)</f>
        <v>0</v>
      </c>
      <c r="AN118" s="50">
        <v>21</v>
      </c>
      <c r="AO118" s="50">
        <f>G118*0.887032786</f>
        <v>0</v>
      </c>
      <c r="AP118" s="50">
        <f>G118*(1-0.887032786)</f>
        <v>0</v>
      </c>
      <c r="AQ118" s="52" t="s">
        <v>112</v>
      </c>
      <c r="AV118" s="50">
        <f>ROUND(AW118+AX118,2)</f>
        <v>0</v>
      </c>
      <c r="AW118" s="50">
        <f>ROUND(F118*AO118,2)</f>
        <v>0</v>
      </c>
      <c r="AX118" s="50">
        <f>ROUND(F118*AP118,2)</f>
        <v>0</v>
      </c>
      <c r="AY118" s="52" t="s">
        <v>226</v>
      </c>
      <c r="AZ118" s="52" t="s">
        <v>227</v>
      </c>
      <c r="BA118" s="32" t="s">
        <v>119</v>
      </c>
      <c r="BC118" s="50">
        <f>AW118+AX118</f>
        <v>0</v>
      </c>
      <c r="BD118" s="50">
        <f>G118/(100-BE118)*100</f>
        <v>0</v>
      </c>
      <c r="BE118" s="50">
        <v>0</v>
      </c>
      <c r="BF118" s="50">
        <f>118</f>
        <v>118</v>
      </c>
      <c r="BH118" s="50">
        <f>F118*AO118</f>
        <v>0</v>
      </c>
      <c r="BI118" s="50">
        <f>F118*AP118</f>
        <v>0</v>
      </c>
      <c r="BJ118" s="50">
        <f>F118*G118</f>
        <v>0</v>
      </c>
      <c r="BK118" s="50"/>
      <c r="BL118" s="50">
        <v>21</v>
      </c>
      <c r="BW118" s="50">
        <v>21</v>
      </c>
      <c r="BX118" s="3" t="s">
        <v>241</v>
      </c>
    </row>
    <row r="119" spans="1:76" ht="14.4" x14ac:dyDescent="0.3">
      <c r="A119" s="53"/>
      <c r="C119" s="54" t="s">
        <v>242</v>
      </c>
      <c r="D119" s="54" t="s">
        <v>4</v>
      </c>
      <c r="F119" s="55">
        <v>10.4</v>
      </c>
      <c r="K119" s="56"/>
    </row>
    <row r="120" spans="1:76" ht="14.4" x14ac:dyDescent="0.3">
      <c r="A120" s="1" t="s">
        <v>222</v>
      </c>
      <c r="B120" s="2" t="s">
        <v>243</v>
      </c>
      <c r="C120" s="75" t="s">
        <v>244</v>
      </c>
      <c r="D120" s="70"/>
      <c r="E120" s="2" t="s">
        <v>115</v>
      </c>
      <c r="F120" s="50">
        <v>18.476500000000001</v>
      </c>
      <c r="G120" s="50">
        <v>0</v>
      </c>
      <c r="H120" s="50">
        <f>ROUND(F120*AO120,2)</f>
        <v>0</v>
      </c>
      <c r="I120" s="50">
        <f>ROUND(F120*AP120,2)</f>
        <v>0</v>
      </c>
      <c r="J120" s="50">
        <f>ROUND(F120*G120,2)</f>
        <v>0</v>
      </c>
      <c r="K120" s="51" t="s">
        <v>116</v>
      </c>
      <c r="Z120" s="50">
        <f>ROUND(IF(AQ120="5",BJ120,0),2)</f>
        <v>0</v>
      </c>
      <c r="AB120" s="50">
        <f>ROUND(IF(AQ120="1",BH120,0),2)</f>
        <v>0</v>
      </c>
      <c r="AC120" s="50">
        <f>ROUND(IF(AQ120="1",BI120,0),2)</f>
        <v>0</v>
      </c>
      <c r="AD120" s="50">
        <f>ROUND(IF(AQ120="7",BH120,0),2)</f>
        <v>0</v>
      </c>
      <c r="AE120" s="50">
        <f>ROUND(IF(AQ120="7",BI120,0),2)</f>
        <v>0</v>
      </c>
      <c r="AF120" s="50">
        <f>ROUND(IF(AQ120="2",BH120,0),2)</f>
        <v>0</v>
      </c>
      <c r="AG120" s="50">
        <f>ROUND(IF(AQ120="2",BI120,0),2)</f>
        <v>0</v>
      </c>
      <c r="AH120" s="50">
        <f>ROUND(IF(AQ120="0",BJ120,0),2)</f>
        <v>0</v>
      </c>
      <c r="AI120" s="32" t="s">
        <v>4</v>
      </c>
      <c r="AJ120" s="50">
        <f>IF(AN120=0,J120,0)</f>
        <v>0</v>
      </c>
      <c r="AK120" s="50">
        <f>IF(AN120=12,J120,0)</f>
        <v>0</v>
      </c>
      <c r="AL120" s="50">
        <f>IF(AN120=21,J120,0)</f>
        <v>0</v>
      </c>
      <c r="AN120" s="50">
        <v>21</v>
      </c>
      <c r="AO120" s="50">
        <f>G120*0</f>
        <v>0</v>
      </c>
      <c r="AP120" s="50">
        <f>G120*(1-0)</f>
        <v>0</v>
      </c>
      <c r="AQ120" s="52" t="s">
        <v>112</v>
      </c>
      <c r="AV120" s="50">
        <f>ROUND(AW120+AX120,2)</f>
        <v>0</v>
      </c>
      <c r="AW120" s="50">
        <f>ROUND(F120*AO120,2)</f>
        <v>0</v>
      </c>
      <c r="AX120" s="50">
        <f>ROUND(F120*AP120,2)</f>
        <v>0</v>
      </c>
      <c r="AY120" s="52" t="s">
        <v>226</v>
      </c>
      <c r="AZ120" s="52" t="s">
        <v>227</v>
      </c>
      <c r="BA120" s="32" t="s">
        <v>119</v>
      </c>
      <c r="BC120" s="50">
        <f>AW120+AX120</f>
        <v>0</v>
      </c>
      <c r="BD120" s="50">
        <f>G120/(100-BE120)*100</f>
        <v>0</v>
      </c>
      <c r="BE120" s="50">
        <v>0</v>
      </c>
      <c r="BF120" s="50">
        <f>120</f>
        <v>120</v>
      </c>
      <c r="BH120" s="50">
        <f>F120*AO120</f>
        <v>0</v>
      </c>
      <c r="BI120" s="50">
        <f>F120*AP120</f>
        <v>0</v>
      </c>
      <c r="BJ120" s="50">
        <f>F120*G120</f>
        <v>0</v>
      </c>
      <c r="BK120" s="50"/>
      <c r="BL120" s="50">
        <v>21</v>
      </c>
      <c r="BW120" s="50">
        <v>21</v>
      </c>
      <c r="BX120" s="3" t="s">
        <v>244</v>
      </c>
    </row>
    <row r="121" spans="1:76" ht="14.4" x14ac:dyDescent="0.3">
      <c r="A121" s="53"/>
      <c r="C121" s="54" t="s">
        <v>245</v>
      </c>
      <c r="D121" s="54" t="s">
        <v>4</v>
      </c>
      <c r="F121" s="55">
        <v>18.476500000000001</v>
      </c>
      <c r="K121" s="56"/>
    </row>
    <row r="122" spans="1:76" ht="14.4" x14ac:dyDescent="0.3">
      <c r="A122" s="1" t="s">
        <v>246</v>
      </c>
      <c r="B122" s="2" t="s">
        <v>247</v>
      </c>
      <c r="C122" s="75" t="s">
        <v>248</v>
      </c>
      <c r="D122" s="70"/>
      <c r="E122" s="2" t="s">
        <v>233</v>
      </c>
      <c r="F122" s="50">
        <v>52.79</v>
      </c>
      <c r="G122" s="50">
        <v>0</v>
      </c>
      <c r="H122" s="50">
        <f>ROUND(F122*AO122,2)</f>
        <v>0</v>
      </c>
      <c r="I122" s="50">
        <f>ROUND(F122*AP122,2)</f>
        <v>0</v>
      </c>
      <c r="J122" s="50">
        <f>ROUND(F122*G122,2)</f>
        <v>0</v>
      </c>
      <c r="K122" s="51" t="s">
        <v>116</v>
      </c>
      <c r="Z122" s="50">
        <f>ROUND(IF(AQ122="5",BJ122,0),2)</f>
        <v>0</v>
      </c>
      <c r="AB122" s="50">
        <f>ROUND(IF(AQ122="1",BH122,0),2)</f>
        <v>0</v>
      </c>
      <c r="AC122" s="50">
        <f>ROUND(IF(AQ122="1",BI122,0),2)</f>
        <v>0</v>
      </c>
      <c r="AD122" s="50">
        <f>ROUND(IF(AQ122="7",BH122,0),2)</f>
        <v>0</v>
      </c>
      <c r="AE122" s="50">
        <f>ROUND(IF(AQ122="7",BI122,0),2)</f>
        <v>0</v>
      </c>
      <c r="AF122" s="50">
        <f>ROUND(IF(AQ122="2",BH122,0),2)</f>
        <v>0</v>
      </c>
      <c r="AG122" s="50">
        <f>ROUND(IF(AQ122="2",BI122,0),2)</f>
        <v>0</v>
      </c>
      <c r="AH122" s="50">
        <f>ROUND(IF(AQ122="0",BJ122,0),2)</f>
        <v>0</v>
      </c>
      <c r="AI122" s="32" t="s">
        <v>4</v>
      </c>
      <c r="AJ122" s="50">
        <f>IF(AN122=0,J122,0)</f>
        <v>0</v>
      </c>
      <c r="AK122" s="50">
        <f>IF(AN122=12,J122,0)</f>
        <v>0</v>
      </c>
      <c r="AL122" s="50">
        <f>IF(AN122=21,J122,0)</f>
        <v>0</v>
      </c>
      <c r="AN122" s="50">
        <v>21</v>
      </c>
      <c r="AO122" s="50">
        <f>G122*0</f>
        <v>0</v>
      </c>
      <c r="AP122" s="50">
        <f>G122*(1-0)</f>
        <v>0</v>
      </c>
      <c r="AQ122" s="52" t="s">
        <v>112</v>
      </c>
      <c r="AV122" s="50">
        <f>ROUND(AW122+AX122,2)</f>
        <v>0</v>
      </c>
      <c r="AW122" s="50">
        <f>ROUND(F122*AO122,2)</f>
        <v>0</v>
      </c>
      <c r="AX122" s="50">
        <f>ROUND(F122*AP122,2)</f>
        <v>0</v>
      </c>
      <c r="AY122" s="52" t="s">
        <v>226</v>
      </c>
      <c r="AZ122" s="52" t="s">
        <v>227</v>
      </c>
      <c r="BA122" s="32" t="s">
        <v>119</v>
      </c>
      <c r="BC122" s="50">
        <f>AW122+AX122</f>
        <v>0</v>
      </c>
      <c r="BD122" s="50">
        <f>G122/(100-BE122)*100</f>
        <v>0</v>
      </c>
      <c r="BE122" s="50">
        <v>0</v>
      </c>
      <c r="BF122" s="50">
        <f>122</f>
        <v>122</v>
      </c>
      <c r="BH122" s="50">
        <f>F122*AO122</f>
        <v>0</v>
      </c>
      <c r="BI122" s="50">
        <f>F122*AP122</f>
        <v>0</v>
      </c>
      <c r="BJ122" s="50">
        <f>F122*G122</f>
        <v>0</v>
      </c>
      <c r="BK122" s="50"/>
      <c r="BL122" s="50">
        <v>21</v>
      </c>
      <c r="BW122" s="50">
        <v>21</v>
      </c>
      <c r="BX122" s="3" t="s">
        <v>248</v>
      </c>
    </row>
    <row r="123" spans="1:76" ht="14.4" x14ac:dyDescent="0.3">
      <c r="A123" s="53"/>
      <c r="C123" s="54" t="s">
        <v>249</v>
      </c>
      <c r="D123" s="54" t="s">
        <v>4</v>
      </c>
      <c r="F123" s="55">
        <v>52.79</v>
      </c>
      <c r="K123" s="56"/>
    </row>
    <row r="124" spans="1:76" ht="14.4" x14ac:dyDescent="0.3">
      <c r="A124" s="1" t="s">
        <v>250</v>
      </c>
      <c r="B124" s="2" t="s">
        <v>251</v>
      </c>
      <c r="C124" s="75" t="s">
        <v>252</v>
      </c>
      <c r="D124" s="70"/>
      <c r="E124" s="2" t="s">
        <v>233</v>
      </c>
      <c r="F124" s="50">
        <v>55.429499999999997</v>
      </c>
      <c r="G124" s="50">
        <v>0</v>
      </c>
      <c r="H124" s="50">
        <f>ROUND(F124*AO124,2)</f>
        <v>0</v>
      </c>
      <c r="I124" s="50">
        <f>ROUND(F124*AP124,2)</f>
        <v>0</v>
      </c>
      <c r="J124" s="50">
        <f>ROUND(F124*G124,2)</f>
        <v>0</v>
      </c>
      <c r="K124" s="51" t="s">
        <v>116</v>
      </c>
      <c r="Z124" s="50">
        <f>ROUND(IF(AQ124="5",BJ124,0),2)</f>
        <v>0</v>
      </c>
      <c r="AB124" s="50">
        <f>ROUND(IF(AQ124="1",BH124,0),2)</f>
        <v>0</v>
      </c>
      <c r="AC124" s="50">
        <f>ROUND(IF(AQ124="1",BI124,0),2)</f>
        <v>0</v>
      </c>
      <c r="AD124" s="50">
        <f>ROUND(IF(AQ124="7",BH124,0),2)</f>
        <v>0</v>
      </c>
      <c r="AE124" s="50">
        <f>ROUND(IF(AQ124="7",BI124,0),2)</f>
        <v>0</v>
      </c>
      <c r="AF124" s="50">
        <f>ROUND(IF(AQ124="2",BH124,0),2)</f>
        <v>0</v>
      </c>
      <c r="AG124" s="50">
        <f>ROUND(IF(AQ124="2",BI124,0),2)</f>
        <v>0</v>
      </c>
      <c r="AH124" s="50">
        <f>ROUND(IF(AQ124="0",BJ124,0),2)</f>
        <v>0</v>
      </c>
      <c r="AI124" s="32" t="s">
        <v>4</v>
      </c>
      <c r="AJ124" s="50">
        <f>IF(AN124=0,J124,0)</f>
        <v>0</v>
      </c>
      <c r="AK124" s="50">
        <f>IF(AN124=12,J124,0)</f>
        <v>0</v>
      </c>
      <c r="AL124" s="50">
        <f>IF(AN124=21,J124,0)</f>
        <v>0</v>
      </c>
      <c r="AN124" s="50">
        <v>21</v>
      </c>
      <c r="AO124" s="50">
        <f>G124*1</f>
        <v>0</v>
      </c>
      <c r="AP124" s="50">
        <f>G124*(1-1)</f>
        <v>0</v>
      </c>
      <c r="AQ124" s="52" t="s">
        <v>112</v>
      </c>
      <c r="AV124" s="50">
        <f>ROUND(AW124+AX124,2)</f>
        <v>0</v>
      </c>
      <c r="AW124" s="50">
        <f>ROUND(F124*AO124,2)</f>
        <v>0</v>
      </c>
      <c r="AX124" s="50">
        <f>ROUND(F124*AP124,2)</f>
        <v>0</v>
      </c>
      <c r="AY124" s="52" t="s">
        <v>226</v>
      </c>
      <c r="AZ124" s="52" t="s">
        <v>227</v>
      </c>
      <c r="BA124" s="32" t="s">
        <v>119</v>
      </c>
      <c r="BC124" s="50">
        <f>AW124+AX124</f>
        <v>0</v>
      </c>
      <c r="BD124" s="50">
        <f>G124/(100-BE124)*100</f>
        <v>0</v>
      </c>
      <c r="BE124" s="50">
        <v>0</v>
      </c>
      <c r="BF124" s="50">
        <f>124</f>
        <v>124</v>
      </c>
      <c r="BH124" s="50">
        <f>F124*AO124</f>
        <v>0</v>
      </c>
      <c r="BI124" s="50">
        <f>F124*AP124</f>
        <v>0</v>
      </c>
      <c r="BJ124" s="50">
        <f>F124*G124</f>
        <v>0</v>
      </c>
      <c r="BK124" s="50"/>
      <c r="BL124" s="50">
        <v>21</v>
      </c>
      <c r="BW124" s="50">
        <v>21</v>
      </c>
      <c r="BX124" s="3" t="s">
        <v>252</v>
      </c>
    </row>
    <row r="125" spans="1:76" ht="14.4" x14ac:dyDescent="0.3">
      <c r="A125" s="53"/>
      <c r="C125" s="54" t="s">
        <v>249</v>
      </c>
      <c r="D125" s="54" t="s">
        <v>4</v>
      </c>
      <c r="F125" s="55">
        <v>52.79</v>
      </c>
      <c r="K125" s="56"/>
    </row>
    <row r="126" spans="1:76" ht="14.4" x14ac:dyDescent="0.3">
      <c r="A126" s="53"/>
      <c r="C126" s="54" t="s">
        <v>253</v>
      </c>
      <c r="D126" s="54" t="s">
        <v>4</v>
      </c>
      <c r="F126" s="55">
        <v>2.6395</v>
      </c>
      <c r="K126" s="56"/>
    </row>
    <row r="127" spans="1:76" ht="14.4" x14ac:dyDescent="0.3">
      <c r="A127" s="1" t="s">
        <v>254</v>
      </c>
      <c r="B127" s="2" t="s">
        <v>255</v>
      </c>
      <c r="C127" s="75" t="s">
        <v>256</v>
      </c>
      <c r="D127" s="70"/>
      <c r="E127" s="2" t="s">
        <v>216</v>
      </c>
      <c r="F127" s="50">
        <v>49.754579999999997</v>
      </c>
      <c r="G127" s="50">
        <v>0</v>
      </c>
      <c r="H127" s="50">
        <f>ROUND(F127*AO127,2)</f>
        <v>0</v>
      </c>
      <c r="I127" s="50">
        <f>ROUND(F127*AP127,2)</f>
        <v>0</v>
      </c>
      <c r="J127" s="50">
        <f>ROUND(F127*G127,2)</f>
        <v>0</v>
      </c>
      <c r="K127" s="51" t="s">
        <v>116</v>
      </c>
      <c r="Z127" s="50">
        <f>ROUND(IF(AQ127="5",BJ127,0),2)</f>
        <v>0</v>
      </c>
      <c r="AB127" s="50">
        <f>ROUND(IF(AQ127="1",BH127,0),2)</f>
        <v>0</v>
      </c>
      <c r="AC127" s="50">
        <f>ROUND(IF(AQ127="1",BI127,0),2)</f>
        <v>0</v>
      </c>
      <c r="AD127" s="50">
        <f>ROUND(IF(AQ127="7",BH127,0),2)</f>
        <v>0</v>
      </c>
      <c r="AE127" s="50">
        <f>ROUND(IF(AQ127="7",BI127,0),2)</f>
        <v>0</v>
      </c>
      <c r="AF127" s="50">
        <f>ROUND(IF(AQ127="2",BH127,0),2)</f>
        <v>0</v>
      </c>
      <c r="AG127" s="50">
        <f>ROUND(IF(AQ127="2",BI127,0),2)</f>
        <v>0</v>
      </c>
      <c r="AH127" s="50">
        <f>ROUND(IF(AQ127="0",BJ127,0),2)</f>
        <v>0</v>
      </c>
      <c r="AI127" s="32" t="s">
        <v>4</v>
      </c>
      <c r="AJ127" s="50">
        <f>IF(AN127=0,J127,0)</f>
        <v>0</v>
      </c>
      <c r="AK127" s="50">
        <f>IF(AN127=12,J127,0)</f>
        <v>0</v>
      </c>
      <c r="AL127" s="50">
        <f>IF(AN127=21,J127,0)</f>
        <v>0</v>
      </c>
      <c r="AN127" s="50">
        <v>21</v>
      </c>
      <c r="AO127" s="50">
        <f>G127*0.131639539</f>
        <v>0</v>
      </c>
      <c r="AP127" s="50">
        <f>G127*(1-0.131639539)</f>
        <v>0</v>
      </c>
      <c r="AQ127" s="52" t="s">
        <v>112</v>
      </c>
      <c r="AV127" s="50">
        <f>ROUND(AW127+AX127,2)</f>
        <v>0</v>
      </c>
      <c r="AW127" s="50">
        <f>ROUND(F127*AO127,2)</f>
        <v>0</v>
      </c>
      <c r="AX127" s="50">
        <f>ROUND(F127*AP127,2)</f>
        <v>0</v>
      </c>
      <c r="AY127" s="52" t="s">
        <v>226</v>
      </c>
      <c r="AZ127" s="52" t="s">
        <v>227</v>
      </c>
      <c r="BA127" s="32" t="s">
        <v>119</v>
      </c>
      <c r="BC127" s="50">
        <f>AW127+AX127</f>
        <v>0</v>
      </c>
      <c r="BD127" s="50">
        <f>G127/(100-BE127)*100</f>
        <v>0</v>
      </c>
      <c r="BE127" s="50">
        <v>0</v>
      </c>
      <c r="BF127" s="50">
        <f>127</f>
        <v>127</v>
      </c>
      <c r="BH127" s="50">
        <f>F127*AO127</f>
        <v>0</v>
      </c>
      <c r="BI127" s="50">
        <f>F127*AP127</f>
        <v>0</v>
      </c>
      <c r="BJ127" s="50">
        <f>F127*G127</f>
        <v>0</v>
      </c>
      <c r="BK127" s="50"/>
      <c r="BL127" s="50">
        <v>21</v>
      </c>
      <c r="BW127" s="50">
        <v>21</v>
      </c>
      <c r="BX127" s="3" t="s">
        <v>256</v>
      </c>
    </row>
    <row r="128" spans="1:76" ht="14.4" x14ac:dyDescent="0.3">
      <c r="A128" s="53"/>
      <c r="C128" s="54" t="s">
        <v>257</v>
      </c>
      <c r="D128" s="54" t="s">
        <v>4</v>
      </c>
      <c r="F128" s="55">
        <v>49.754579999999997</v>
      </c>
      <c r="K128" s="56"/>
    </row>
    <row r="129" spans="1:76" ht="14.4" x14ac:dyDescent="0.3">
      <c r="A129" s="1" t="s">
        <v>258</v>
      </c>
      <c r="B129" s="2" t="s">
        <v>259</v>
      </c>
      <c r="C129" s="75" t="s">
        <v>260</v>
      </c>
      <c r="D129" s="70"/>
      <c r="E129" s="2" t="s">
        <v>216</v>
      </c>
      <c r="F129" s="50">
        <v>52.242310000000003</v>
      </c>
      <c r="G129" s="50">
        <v>0</v>
      </c>
      <c r="H129" s="50">
        <f>ROUND(F129*AO129,2)</f>
        <v>0</v>
      </c>
      <c r="I129" s="50">
        <f>ROUND(F129*AP129,2)</f>
        <v>0</v>
      </c>
      <c r="J129" s="50">
        <f>ROUND(F129*G129,2)</f>
        <v>0</v>
      </c>
      <c r="K129" s="51" t="s">
        <v>116</v>
      </c>
      <c r="Z129" s="50">
        <f>ROUND(IF(AQ129="5",BJ129,0),2)</f>
        <v>0</v>
      </c>
      <c r="AB129" s="50">
        <f>ROUND(IF(AQ129="1",BH129,0),2)</f>
        <v>0</v>
      </c>
      <c r="AC129" s="50">
        <f>ROUND(IF(AQ129="1",BI129,0),2)</f>
        <v>0</v>
      </c>
      <c r="AD129" s="50">
        <f>ROUND(IF(AQ129="7",BH129,0),2)</f>
        <v>0</v>
      </c>
      <c r="AE129" s="50">
        <f>ROUND(IF(AQ129="7",BI129,0),2)</f>
        <v>0</v>
      </c>
      <c r="AF129" s="50">
        <f>ROUND(IF(AQ129="2",BH129,0),2)</f>
        <v>0</v>
      </c>
      <c r="AG129" s="50">
        <f>ROUND(IF(AQ129="2",BI129,0),2)</f>
        <v>0</v>
      </c>
      <c r="AH129" s="50">
        <f>ROUND(IF(AQ129="0",BJ129,0),2)</f>
        <v>0</v>
      </c>
      <c r="AI129" s="32" t="s">
        <v>4</v>
      </c>
      <c r="AJ129" s="50">
        <f>IF(AN129=0,J129,0)</f>
        <v>0</v>
      </c>
      <c r="AK129" s="50">
        <f>IF(AN129=12,J129,0)</f>
        <v>0</v>
      </c>
      <c r="AL129" s="50">
        <f>IF(AN129=21,J129,0)</f>
        <v>0</v>
      </c>
      <c r="AN129" s="50">
        <v>21</v>
      </c>
      <c r="AO129" s="50">
        <f>G129*1</f>
        <v>0</v>
      </c>
      <c r="AP129" s="50">
        <f>G129*(1-1)</f>
        <v>0</v>
      </c>
      <c r="AQ129" s="52" t="s">
        <v>112</v>
      </c>
      <c r="AV129" s="50">
        <f>ROUND(AW129+AX129,2)</f>
        <v>0</v>
      </c>
      <c r="AW129" s="50">
        <f>ROUND(F129*AO129,2)</f>
        <v>0</v>
      </c>
      <c r="AX129" s="50">
        <f>ROUND(F129*AP129,2)</f>
        <v>0</v>
      </c>
      <c r="AY129" s="52" t="s">
        <v>226</v>
      </c>
      <c r="AZ129" s="52" t="s">
        <v>227</v>
      </c>
      <c r="BA129" s="32" t="s">
        <v>119</v>
      </c>
      <c r="BC129" s="50">
        <f>AW129+AX129</f>
        <v>0</v>
      </c>
      <c r="BD129" s="50">
        <f>G129/(100-BE129)*100</f>
        <v>0</v>
      </c>
      <c r="BE129" s="50">
        <v>0</v>
      </c>
      <c r="BF129" s="50">
        <f>129</f>
        <v>129</v>
      </c>
      <c r="BH129" s="50">
        <f>F129*AO129</f>
        <v>0</v>
      </c>
      <c r="BI129" s="50">
        <f>F129*AP129</f>
        <v>0</v>
      </c>
      <c r="BJ129" s="50">
        <f>F129*G129</f>
        <v>0</v>
      </c>
      <c r="BK129" s="50"/>
      <c r="BL129" s="50">
        <v>21</v>
      </c>
      <c r="BW129" s="50">
        <v>21</v>
      </c>
      <c r="BX129" s="3" t="s">
        <v>260</v>
      </c>
    </row>
    <row r="130" spans="1:76" ht="14.4" x14ac:dyDescent="0.3">
      <c r="A130" s="53"/>
      <c r="C130" s="54" t="s">
        <v>257</v>
      </c>
      <c r="D130" s="54" t="s">
        <v>4</v>
      </c>
      <c r="F130" s="55">
        <v>49.754579999999997</v>
      </c>
      <c r="K130" s="56"/>
    </row>
    <row r="131" spans="1:76" ht="14.4" x14ac:dyDescent="0.3">
      <c r="A131" s="53"/>
      <c r="C131" s="54" t="s">
        <v>261</v>
      </c>
      <c r="D131" s="54" t="s">
        <v>4</v>
      </c>
      <c r="F131" s="55">
        <v>2.48773</v>
      </c>
      <c r="K131" s="56"/>
    </row>
    <row r="132" spans="1:76" ht="14.4" x14ac:dyDescent="0.3">
      <c r="A132" s="1" t="s">
        <v>262</v>
      </c>
      <c r="B132" s="2" t="s">
        <v>263</v>
      </c>
      <c r="C132" s="75" t="s">
        <v>264</v>
      </c>
      <c r="D132" s="70"/>
      <c r="E132" s="2" t="s">
        <v>115</v>
      </c>
      <c r="F132" s="50">
        <v>6.75</v>
      </c>
      <c r="G132" s="50">
        <v>0</v>
      </c>
      <c r="H132" s="50">
        <f>ROUND(F132*AO132,2)</f>
        <v>0</v>
      </c>
      <c r="I132" s="50">
        <f>ROUND(F132*AP132,2)</f>
        <v>0</v>
      </c>
      <c r="J132" s="50">
        <f>ROUND(F132*G132,2)</f>
        <v>0</v>
      </c>
      <c r="K132" s="51" t="s">
        <v>116</v>
      </c>
      <c r="Z132" s="50">
        <f>ROUND(IF(AQ132="5",BJ132,0),2)</f>
        <v>0</v>
      </c>
      <c r="AB132" s="50">
        <f>ROUND(IF(AQ132="1",BH132,0),2)</f>
        <v>0</v>
      </c>
      <c r="AC132" s="50">
        <f>ROUND(IF(AQ132="1",BI132,0),2)</f>
        <v>0</v>
      </c>
      <c r="AD132" s="50">
        <f>ROUND(IF(AQ132="7",BH132,0),2)</f>
        <v>0</v>
      </c>
      <c r="AE132" s="50">
        <f>ROUND(IF(AQ132="7",BI132,0),2)</f>
        <v>0</v>
      </c>
      <c r="AF132" s="50">
        <f>ROUND(IF(AQ132="2",BH132,0),2)</f>
        <v>0</v>
      </c>
      <c r="AG132" s="50">
        <f>ROUND(IF(AQ132="2",BI132,0),2)</f>
        <v>0</v>
      </c>
      <c r="AH132" s="50">
        <f>ROUND(IF(AQ132="0",BJ132,0),2)</f>
        <v>0</v>
      </c>
      <c r="AI132" s="32" t="s">
        <v>4</v>
      </c>
      <c r="AJ132" s="50">
        <f>IF(AN132=0,J132,0)</f>
        <v>0</v>
      </c>
      <c r="AK132" s="50">
        <f>IF(AN132=12,J132,0)</f>
        <v>0</v>
      </c>
      <c r="AL132" s="50">
        <f>IF(AN132=21,J132,0)</f>
        <v>0</v>
      </c>
      <c r="AN132" s="50">
        <v>21</v>
      </c>
      <c r="AO132" s="50">
        <f>G132*0.678286329</f>
        <v>0</v>
      </c>
      <c r="AP132" s="50">
        <f>G132*(1-0.678286329)</f>
        <v>0</v>
      </c>
      <c r="AQ132" s="52" t="s">
        <v>112</v>
      </c>
      <c r="AV132" s="50">
        <f>ROUND(AW132+AX132,2)</f>
        <v>0</v>
      </c>
      <c r="AW132" s="50">
        <f>ROUND(F132*AO132,2)</f>
        <v>0</v>
      </c>
      <c r="AX132" s="50">
        <f>ROUND(F132*AP132,2)</f>
        <v>0</v>
      </c>
      <c r="AY132" s="52" t="s">
        <v>226</v>
      </c>
      <c r="AZ132" s="52" t="s">
        <v>227</v>
      </c>
      <c r="BA132" s="32" t="s">
        <v>119</v>
      </c>
      <c r="BC132" s="50">
        <f>AW132+AX132</f>
        <v>0</v>
      </c>
      <c r="BD132" s="50">
        <f>G132/(100-BE132)*100</f>
        <v>0</v>
      </c>
      <c r="BE132" s="50">
        <v>0</v>
      </c>
      <c r="BF132" s="50">
        <f>132</f>
        <v>132</v>
      </c>
      <c r="BH132" s="50">
        <f>F132*AO132</f>
        <v>0</v>
      </c>
      <c r="BI132" s="50">
        <f>F132*AP132</f>
        <v>0</v>
      </c>
      <c r="BJ132" s="50">
        <f>F132*G132</f>
        <v>0</v>
      </c>
      <c r="BK132" s="50"/>
      <c r="BL132" s="50">
        <v>21</v>
      </c>
      <c r="BW132" s="50">
        <v>21</v>
      </c>
      <c r="BX132" s="3" t="s">
        <v>264</v>
      </c>
    </row>
    <row r="133" spans="1:76" ht="14.4" x14ac:dyDescent="0.3">
      <c r="A133" s="53"/>
      <c r="C133" s="54" t="s">
        <v>265</v>
      </c>
      <c r="D133" s="54" t="s">
        <v>266</v>
      </c>
      <c r="F133" s="55">
        <v>6.75</v>
      </c>
      <c r="K133" s="56"/>
    </row>
    <row r="134" spans="1:76" ht="14.4" x14ac:dyDescent="0.3">
      <c r="A134" s="1" t="s">
        <v>267</v>
      </c>
      <c r="B134" s="2" t="s">
        <v>268</v>
      </c>
      <c r="C134" s="75" t="s">
        <v>269</v>
      </c>
      <c r="D134" s="70"/>
      <c r="E134" s="2" t="s">
        <v>216</v>
      </c>
      <c r="F134" s="50">
        <v>30.72</v>
      </c>
      <c r="G134" s="50">
        <v>0</v>
      </c>
      <c r="H134" s="50">
        <f>ROUND(F134*AO134,2)</f>
        <v>0</v>
      </c>
      <c r="I134" s="50">
        <f>ROUND(F134*AP134,2)</f>
        <v>0</v>
      </c>
      <c r="J134" s="50">
        <f>ROUND(F134*G134,2)</f>
        <v>0</v>
      </c>
      <c r="K134" s="51" t="s">
        <v>116</v>
      </c>
      <c r="Z134" s="50">
        <f>ROUND(IF(AQ134="5",BJ134,0),2)</f>
        <v>0</v>
      </c>
      <c r="AB134" s="50">
        <f>ROUND(IF(AQ134="1",BH134,0),2)</f>
        <v>0</v>
      </c>
      <c r="AC134" s="50">
        <f>ROUND(IF(AQ134="1",BI134,0),2)</f>
        <v>0</v>
      </c>
      <c r="AD134" s="50">
        <f>ROUND(IF(AQ134="7",BH134,0),2)</f>
        <v>0</v>
      </c>
      <c r="AE134" s="50">
        <f>ROUND(IF(AQ134="7",BI134,0),2)</f>
        <v>0</v>
      </c>
      <c r="AF134" s="50">
        <f>ROUND(IF(AQ134="2",BH134,0),2)</f>
        <v>0</v>
      </c>
      <c r="AG134" s="50">
        <f>ROUND(IF(AQ134="2",BI134,0),2)</f>
        <v>0</v>
      </c>
      <c r="AH134" s="50">
        <f>ROUND(IF(AQ134="0",BJ134,0),2)</f>
        <v>0</v>
      </c>
      <c r="AI134" s="32" t="s">
        <v>4</v>
      </c>
      <c r="AJ134" s="50">
        <f>IF(AN134=0,J134,0)</f>
        <v>0</v>
      </c>
      <c r="AK134" s="50">
        <f>IF(AN134=12,J134,0)</f>
        <v>0</v>
      </c>
      <c r="AL134" s="50">
        <f>IF(AN134=21,J134,0)</f>
        <v>0</v>
      </c>
      <c r="AN134" s="50">
        <v>21</v>
      </c>
      <c r="AO134" s="50">
        <f>G134*0.020000383</f>
        <v>0</v>
      </c>
      <c r="AP134" s="50">
        <f>G134*(1-0.020000383)</f>
        <v>0</v>
      </c>
      <c r="AQ134" s="52" t="s">
        <v>112</v>
      </c>
      <c r="AV134" s="50">
        <f>ROUND(AW134+AX134,2)</f>
        <v>0</v>
      </c>
      <c r="AW134" s="50">
        <f>ROUND(F134*AO134,2)</f>
        <v>0</v>
      </c>
      <c r="AX134" s="50">
        <f>ROUND(F134*AP134,2)</f>
        <v>0</v>
      </c>
      <c r="AY134" s="52" t="s">
        <v>226</v>
      </c>
      <c r="AZ134" s="52" t="s">
        <v>227</v>
      </c>
      <c r="BA134" s="32" t="s">
        <v>119</v>
      </c>
      <c r="BC134" s="50">
        <f>AW134+AX134</f>
        <v>0</v>
      </c>
      <c r="BD134" s="50">
        <f>G134/(100-BE134)*100</f>
        <v>0</v>
      </c>
      <c r="BE134" s="50">
        <v>0</v>
      </c>
      <c r="BF134" s="50">
        <f>134</f>
        <v>134</v>
      </c>
      <c r="BH134" s="50">
        <f>F134*AO134</f>
        <v>0</v>
      </c>
      <c r="BI134" s="50">
        <f>F134*AP134</f>
        <v>0</v>
      </c>
      <c r="BJ134" s="50">
        <f>F134*G134</f>
        <v>0</v>
      </c>
      <c r="BK134" s="50"/>
      <c r="BL134" s="50">
        <v>21</v>
      </c>
      <c r="BW134" s="50">
        <v>21</v>
      </c>
      <c r="BX134" s="3" t="s">
        <v>269</v>
      </c>
    </row>
    <row r="135" spans="1:76" ht="14.4" x14ac:dyDescent="0.3">
      <c r="A135" s="53"/>
      <c r="C135" s="54" t="s">
        <v>270</v>
      </c>
      <c r="D135" s="54" t="s">
        <v>4</v>
      </c>
      <c r="F135" s="55">
        <v>30.72</v>
      </c>
      <c r="K135" s="56"/>
    </row>
    <row r="136" spans="1:76" ht="14.4" x14ac:dyDescent="0.3">
      <c r="A136" s="1" t="s">
        <v>271</v>
      </c>
      <c r="B136" s="2" t="s">
        <v>272</v>
      </c>
      <c r="C136" s="75" t="s">
        <v>273</v>
      </c>
      <c r="D136" s="70"/>
      <c r="E136" s="2" t="s">
        <v>216</v>
      </c>
      <c r="F136" s="50">
        <v>33.792000000000002</v>
      </c>
      <c r="G136" s="50">
        <v>0</v>
      </c>
      <c r="H136" s="50">
        <f>ROUND(F136*AO136,2)</f>
        <v>0</v>
      </c>
      <c r="I136" s="50">
        <f>ROUND(F136*AP136,2)</f>
        <v>0</v>
      </c>
      <c r="J136" s="50">
        <f>ROUND(F136*G136,2)</f>
        <v>0</v>
      </c>
      <c r="K136" s="51" t="s">
        <v>116</v>
      </c>
      <c r="Z136" s="50">
        <f>ROUND(IF(AQ136="5",BJ136,0),2)</f>
        <v>0</v>
      </c>
      <c r="AB136" s="50">
        <f>ROUND(IF(AQ136="1",BH136,0),2)</f>
        <v>0</v>
      </c>
      <c r="AC136" s="50">
        <f>ROUND(IF(AQ136="1",BI136,0),2)</f>
        <v>0</v>
      </c>
      <c r="AD136" s="50">
        <f>ROUND(IF(AQ136="7",BH136,0),2)</f>
        <v>0</v>
      </c>
      <c r="AE136" s="50">
        <f>ROUND(IF(AQ136="7",BI136,0),2)</f>
        <v>0</v>
      </c>
      <c r="AF136" s="50">
        <f>ROUND(IF(AQ136="2",BH136,0),2)</f>
        <v>0</v>
      </c>
      <c r="AG136" s="50">
        <f>ROUND(IF(AQ136="2",BI136,0),2)</f>
        <v>0</v>
      </c>
      <c r="AH136" s="50">
        <f>ROUND(IF(AQ136="0",BJ136,0),2)</f>
        <v>0</v>
      </c>
      <c r="AI136" s="32" t="s">
        <v>4</v>
      </c>
      <c r="AJ136" s="50">
        <f>IF(AN136=0,J136,0)</f>
        <v>0</v>
      </c>
      <c r="AK136" s="50">
        <f>IF(AN136=12,J136,0)</f>
        <v>0</v>
      </c>
      <c r="AL136" s="50">
        <f>IF(AN136=21,J136,0)</f>
        <v>0</v>
      </c>
      <c r="AN136" s="50">
        <v>21</v>
      </c>
      <c r="AO136" s="50">
        <f>G136*1</f>
        <v>0</v>
      </c>
      <c r="AP136" s="50">
        <f>G136*(1-1)</f>
        <v>0</v>
      </c>
      <c r="AQ136" s="52" t="s">
        <v>112</v>
      </c>
      <c r="AV136" s="50">
        <f>ROUND(AW136+AX136,2)</f>
        <v>0</v>
      </c>
      <c r="AW136" s="50">
        <f>ROUND(F136*AO136,2)</f>
        <v>0</v>
      </c>
      <c r="AX136" s="50">
        <f>ROUND(F136*AP136,2)</f>
        <v>0</v>
      </c>
      <c r="AY136" s="52" t="s">
        <v>226</v>
      </c>
      <c r="AZ136" s="52" t="s">
        <v>227</v>
      </c>
      <c r="BA136" s="32" t="s">
        <v>119</v>
      </c>
      <c r="BC136" s="50">
        <f>AW136+AX136</f>
        <v>0</v>
      </c>
      <c r="BD136" s="50">
        <f>G136/(100-BE136)*100</f>
        <v>0</v>
      </c>
      <c r="BE136" s="50">
        <v>0</v>
      </c>
      <c r="BF136" s="50">
        <f>136</f>
        <v>136</v>
      </c>
      <c r="BH136" s="50">
        <f>F136*AO136</f>
        <v>0</v>
      </c>
      <c r="BI136" s="50">
        <f>F136*AP136</f>
        <v>0</v>
      </c>
      <c r="BJ136" s="50">
        <f>F136*G136</f>
        <v>0</v>
      </c>
      <c r="BK136" s="50"/>
      <c r="BL136" s="50">
        <v>21</v>
      </c>
      <c r="BW136" s="50">
        <v>21</v>
      </c>
      <c r="BX136" s="3" t="s">
        <v>273</v>
      </c>
    </row>
    <row r="137" spans="1:76" ht="14.4" x14ac:dyDescent="0.3">
      <c r="A137" s="53"/>
      <c r="C137" s="54" t="s">
        <v>270</v>
      </c>
      <c r="D137" s="54" t="s">
        <v>4</v>
      </c>
      <c r="F137" s="55">
        <v>30.72</v>
      </c>
      <c r="K137" s="56"/>
    </row>
    <row r="138" spans="1:76" ht="14.4" x14ac:dyDescent="0.3">
      <c r="A138" s="53"/>
      <c r="C138" s="54" t="s">
        <v>274</v>
      </c>
      <c r="D138" s="54" t="s">
        <v>4</v>
      </c>
      <c r="F138" s="55">
        <v>3.0720000000000001</v>
      </c>
      <c r="K138" s="56"/>
    </row>
    <row r="139" spans="1:76" ht="14.4" x14ac:dyDescent="0.3">
      <c r="A139" s="1" t="s">
        <v>275</v>
      </c>
      <c r="B139" s="2" t="s">
        <v>276</v>
      </c>
      <c r="C139" s="75" t="s">
        <v>277</v>
      </c>
      <c r="D139" s="70"/>
      <c r="E139" s="2" t="s">
        <v>278</v>
      </c>
      <c r="F139" s="50">
        <v>32</v>
      </c>
      <c r="G139" s="50">
        <v>0</v>
      </c>
      <c r="H139" s="50">
        <f>ROUND(F139*AO139,2)</f>
        <v>0</v>
      </c>
      <c r="I139" s="50">
        <f>ROUND(F139*AP139,2)</f>
        <v>0</v>
      </c>
      <c r="J139" s="50">
        <f>ROUND(F139*G139,2)</f>
        <v>0</v>
      </c>
      <c r="K139" s="51" t="s">
        <v>116</v>
      </c>
      <c r="Z139" s="50">
        <f>ROUND(IF(AQ139="5",BJ139,0),2)</f>
        <v>0</v>
      </c>
      <c r="AB139" s="50">
        <f>ROUND(IF(AQ139="1",BH139,0),2)</f>
        <v>0</v>
      </c>
      <c r="AC139" s="50">
        <f>ROUND(IF(AQ139="1",BI139,0),2)</f>
        <v>0</v>
      </c>
      <c r="AD139" s="50">
        <f>ROUND(IF(AQ139="7",BH139,0),2)</f>
        <v>0</v>
      </c>
      <c r="AE139" s="50">
        <f>ROUND(IF(AQ139="7",BI139,0),2)</f>
        <v>0</v>
      </c>
      <c r="AF139" s="50">
        <f>ROUND(IF(AQ139="2",BH139,0),2)</f>
        <v>0</v>
      </c>
      <c r="AG139" s="50">
        <f>ROUND(IF(AQ139="2",BI139,0),2)</f>
        <v>0</v>
      </c>
      <c r="AH139" s="50">
        <f>ROUND(IF(AQ139="0",BJ139,0),2)</f>
        <v>0</v>
      </c>
      <c r="AI139" s="32" t="s">
        <v>4</v>
      </c>
      <c r="AJ139" s="50">
        <f>IF(AN139=0,J139,0)</f>
        <v>0</v>
      </c>
      <c r="AK139" s="50">
        <f>IF(AN139=12,J139,0)</f>
        <v>0</v>
      </c>
      <c r="AL139" s="50">
        <f>IF(AN139=21,J139,0)</f>
        <v>0</v>
      </c>
      <c r="AN139" s="50">
        <v>21</v>
      </c>
      <c r="AO139" s="50">
        <f>G139*0</f>
        <v>0</v>
      </c>
      <c r="AP139" s="50">
        <f>G139*(1-0)</f>
        <v>0</v>
      </c>
      <c r="AQ139" s="52" t="s">
        <v>112</v>
      </c>
      <c r="AV139" s="50">
        <f>ROUND(AW139+AX139,2)</f>
        <v>0</v>
      </c>
      <c r="AW139" s="50">
        <f>ROUND(F139*AO139,2)</f>
        <v>0</v>
      </c>
      <c r="AX139" s="50">
        <f>ROUND(F139*AP139,2)</f>
        <v>0</v>
      </c>
      <c r="AY139" s="52" t="s">
        <v>226</v>
      </c>
      <c r="AZ139" s="52" t="s">
        <v>227</v>
      </c>
      <c r="BA139" s="32" t="s">
        <v>119</v>
      </c>
      <c r="BC139" s="50">
        <f>AW139+AX139</f>
        <v>0</v>
      </c>
      <c r="BD139" s="50">
        <f>G139/(100-BE139)*100</f>
        <v>0</v>
      </c>
      <c r="BE139" s="50">
        <v>0</v>
      </c>
      <c r="BF139" s="50">
        <f>139</f>
        <v>139</v>
      </c>
      <c r="BH139" s="50">
        <f>F139*AO139</f>
        <v>0</v>
      </c>
      <c r="BI139" s="50">
        <f>F139*AP139</f>
        <v>0</v>
      </c>
      <c r="BJ139" s="50">
        <f>F139*G139</f>
        <v>0</v>
      </c>
      <c r="BK139" s="50"/>
      <c r="BL139" s="50">
        <v>21</v>
      </c>
      <c r="BW139" s="50">
        <v>21</v>
      </c>
      <c r="BX139" s="3" t="s">
        <v>277</v>
      </c>
    </row>
    <row r="140" spans="1:76" ht="14.4" x14ac:dyDescent="0.3">
      <c r="A140" s="53"/>
      <c r="C140" s="54" t="s">
        <v>279</v>
      </c>
      <c r="D140" s="54" t="s">
        <v>4</v>
      </c>
      <c r="F140" s="55">
        <v>32</v>
      </c>
      <c r="K140" s="56"/>
    </row>
    <row r="141" spans="1:76" ht="14.4" x14ac:dyDescent="0.3">
      <c r="A141" s="1" t="s">
        <v>280</v>
      </c>
      <c r="B141" s="2" t="s">
        <v>281</v>
      </c>
      <c r="C141" s="75" t="s">
        <v>282</v>
      </c>
      <c r="D141" s="70"/>
      <c r="E141" s="2" t="s">
        <v>278</v>
      </c>
      <c r="F141" s="50">
        <v>32</v>
      </c>
      <c r="G141" s="50">
        <v>0</v>
      </c>
      <c r="H141" s="50">
        <f>ROUND(F141*AO141,2)</f>
        <v>0</v>
      </c>
      <c r="I141" s="50">
        <f>ROUND(F141*AP141,2)</f>
        <v>0</v>
      </c>
      <c r="J141" s="50">
        <f>ROUND(F141*G141,2)</f>
        <v>0</v>
      </c>
      <c r="K141" s="51" t="s">
        <v>116</v>
      </c>
      <c r="Z141" s="50">
        <f>ROUND(IF(AQ141="5",BJ141,0),2)</f>
        <v>0</v>
      </c>
      <c r="AB141" s="50">
        <f>ROUND(IF(AQ141="1",BH141,0),2)</f>
        <v>0</v>
      </c>
      <c r="AC141" s="50">
        <f>ROUND(IF(AQ141="1",BI141,0),2)</f>
        <v>0</v>
      </c>
      <c r="AD141" s="50">
        <f>ROUND(IF(AQ141="7",BH141,0),2)</f>
        <v>0</v>
      </c>
      <c r="AE141" s="50">
        <f>ROUND(IF(AQ141="7",BI141,0),2)</f>
        <v>0</v>
      </c>
      <c r="AF141" s="50">
        <f>ROUND(IF(AQ141="2",BH141,0),2)</f>
        <v>0</v>
      </c>
      <c r="AG141" s="50">
        <f>ROUND(IF(AQ141="2",BI141,0),2)</f>
        <v>0</v>
      </c>
      <c r="AH141" s="50">
        <f>ROUND(IF(AQ141="0",BJ141,0),2)</f>
        <v>0</v>
      </c>
      <c r="AI141" s="32" t="s">
        <v>4</v>
      </c>
      <c r="AJ141" s="50">
        <f>IF(AN141=0,J141,0)</f>
        <v>0</v>
      </c>
      <c r="AK141" s="50">
        <f>IF(AN141=12,J141,0)</f>
        <v>0</v>
      </c>
      <c r="AL141" s="50">
        <f>IF(AN141=21,J141,0)</f>
        <v>0</v>
      </c>
      <c r="AN141" s="50">
        <v>21</v>
      </c>
      <c r="AO141" s="50">
        <f>G141*1</f>
        <v>0</v>
      </c>
      <c r="AP141" s="50">
        <f>G141*(1-1)</f>
        <v>0</v>
      </c>
      <c r="AQ141" s="52" t="s">
        <v>112</v>
      </c>
      <c r="AV141" s="50">
        <f>ROUND(AW141+AX141,2)</f>
        <v>0</v>
      </c>
      <c r="AW141" s="50">
        <f>ROUND(F141*AO141,2)</f>
        <v>0</v>
      </c>
      <c r="AX141" s="50">
        <f>ROUND(F141*AP141,2)</f>
        <v>0</v>
      </c>
      <c r="AY141" s="52" t="s">
        <v>226</v>
      </c>
      <c r="AZ141" s="52" t="s">
        <v>227</v>
      </c>
      <c r="BA141" s="32" t="s">
        <v>119</v>
      </c>
      <c r="BC141" s="50">
        <f>AW141+AX141</f>
        <v>0</v>
      </c>
      <c r="BD141" s="50">
        <f>G141/(100-BE141)*100</f>
        <v>0</v>
      </c>
      <c r="BE141" s="50">
        <v>0</v>
      </c>
      <c r="BF141" s="50">
        <f>141</f>
        <v>141</v>
      </c>
      <c r="BH141" s="50">
        <f>F141*AO141</f>
        <v>0</v>
      </c>
      <c r="BI141" s="50">
        <f>F141*AP141</f>
        <v>0</v>
      </c>
      <c r="BJ141" s="50">
        <f>F141*G141</f>
        <v>0</v>
      </c>
      <c r="BK141" s="50"/>
      <c r="BL141" s="50">
        <v>21</v>
      </c>
      <c r="BW141" s="50">
        <v>21</v>
      </c>
      <c r="BX141" s="3" t="s">
        <v>282</v>
      </c>
    </row>
    <row r="142" spans="1:76" ht="14.4" x14ac:dyDescent="0.3">
      <c r="A142" s="53"/>
      <c r="C142" s="54" t="s">
        <v>279</v>
      </c>
      <c r="D142" s="54" t="s">
        <v>4</v>
      </c>
      <c r="F142" s="55">
        <v>32</v>
      </c>
      <c r="K142" s="56"/>
    </row>
    <row r="143" spans="1:76" ht="14.4" x14ac:dyDescent="0.3">
      <c r="A143" s="1" t="s">
        <v>283</v>
      </c>
      <c r="B143" s="2" t="s">
        <v>284</v>
      </c>
      <c r="C143" s="75" t="s">
        <v>285</v>
      </c>
      <c r="D143" s="70"/>
      <c r="E143" s="2" t="s">
        <v>278</v>
      </c>
      <c r="F143" s="50">
        <v>16</v>
      </c>
      <c r="G143" s="50">
        <v>0</v>
      </c>
      <c r="H143" s="50">
        <f>ROUND(F143*AO143,2)</f>
        <v>0</v>
      </c>
      <c r="I143" s="50">
        <f>ROUND(F143*AP143,2)</f>
        <v>0</v>
      </c>
      <c r="J143" s="50">
        <f>ROUND(F143*G143,2)</f>
        <v>0</v>
      </c>
      <c r="K143" s="51" t="s">
        <v>116</v>
      </c>
      <c r="Z143" s="50">
        <f>ROUND(IF(AQ143="5",BJ143,0),2)</f>
        <v>0</v>
      </c>
      <c r="AB143" s="50">
        <f>ROUND(IF(AQ143="1",BH143,0),2)</f>
        <v>0</v>
      </c>
      <c r="AC143" s="50">
        <f>ROUND(IF(AQ143="1",BI143,0),2)</f>
        <v>0</v>
      </c>
      <c r="AD143" s="50">
        <f>ROUND(IF(AQ143="7",BH143,0),2)</f>
        <v>0</v>
      </c>
      <c r="AE143" s="50">
        <f>ROUND(IF(AQ143="7",BI143,0),2)</f>
        <v>0</v>
      </c>
      <c r="AF143" s="50">
        <f>ROUND(IF(AQ143="2",BH143,0),2)</f>
        <v>0</v>
      </c>
      <c r="AG143" s="50">
        <f>ROUND(IF(AQ143="2",BI143,0),2)</f>
        <v>0</v>
      </c>
      <c r="AH143" s="50">
        <f>ROUND(IF(AQ143="0",BJ143,0),2)</f>
        <v>0</v>
      </c>
      <c r="AI143" s="32" t="s">
        <v>4</v>
      </c>
      <c r="AJ143" s="50">
        <f>IF(AN143=0,J143,0)</f>
        <v>0</v>
      </c>
      <c r="AK143" s="50">
        <f>IF(AN143=12,J143,0)</f>
        <v>0</v>
      </c>
      <c r="AL143" s="50">
        <f>IF(AN143=21,J143,0)</f>
        <v>0</v>
      </c>
      <c r="AN143" s="50">
        <v>21</v>
      </c>
      <c r="AO143" s="50">
        <f>G143*1</f>
        <v>0</v>
      </c>
      <c r="AP143" s="50">
        <f>G143*(1-1)</f>
        <v>0</v>
      </c>
      <c r="AQ143" s="52" t="s">
        <v>112</v>
      </c>
      <c r="AV143" s="50">
        <f>ROUND(AW143+AX143,2)</f>
        <v>0</v>
      </c>
      <c r="AW143" s="50">
        <f>ROUND(F143*AO143,2)</f>
        <v>0</v>
      </c>
      <c r="AX143" s="50">
        <f>ROUND(F143*AP143,2)</f>
        <v>0</v>
      </c>
      <c r="AY143" s="52" t="s">
        <v>226</v>
      </c>
      <c r="AZ143" s="52" t="s">
        <v>227</v>
      </c>
      <c r="BA143" s="32" t="s">
        <v>119</v>
      </c>
      <c r="BC143" s="50">
        <f>AW143+AX143</f>
        <v>0</v>
      </c>
      <c r="BD143" s="50">
        <f>G143/(100-BE143)*100</f>
        <v>0</v>
      </c>
      <c r="BE143" s="50">
        <v>0</v>
      </c>
      <c r="BF143" s="50">
        <f>143</f>
        <v>143</v>
      </c>
      <c r="BH143" s="50">
        <f>F143*AO143</f>
        <v>0</v>
      </c>
      <c r="BI143" s="50">
        <f>F143*AP143</f>
        <v>0</v>
      </c>
      <c r="BJ143" s="50">
        <f>F143*G143</f>
        <v>0</v>
      </c>
      <c r="BK143" s="50"/>
      <c r="BL143" s="50">
        <v>21</v>
      </c>
      <c r="BW143" s="50">
        <v>21</v>
      </c>
      <c r="BX143" s="3" t="s">
        <v>285</v>
      </c>
    </row>
    <row r="144" spans="1:76" ht="14.4" x14ac:dyDescent="0.3">
      <c r="A144" s="53"/>
      <c r="C144" s="54" t="s">
        <v>161</v>
      </c>
      <c r="D144" s="54" t="s">
        <v>4</v>
      </c>
      <c r="F144" s="55">
        <v>16</v>
      </c>
      <c r="K144" s="56"/>
    </row>
    <row r="145" spans="1:76" ht="14.4" x14ac:dyDescent="0.3">
      <c r="A145" s="46" t="s">
        <v>4</v>
      </c>
      <c r="B145" s="47" t="s">
        <v>267</v>
      </c>
      <c r="C145" s="148" t="s">
        <v>286</v>
      </c>
      <c r="D145" s="149"/>
      <c r="E145" s="48" t="s">
        <v>74</v>
      </c>
      <c r="F145" s="48" t="s">
        <v>74</v>
      </c>
      <c r="G145" s="48" t="s">
        <v>74</v>
      </c>
      <c r="H145" s="26">
        <f>SUM(H146:H183)</f>
        <v>0</v>
      </c>
      <c r="I145" s="26">
        <f>SUM(I146:I183)</f>
        <v>0</v>
      </c>
      <c r="J145" s="26">
        <f>SUM(J146:J183)</f>
        <v>0</v>
      </c>
      <c r="K145" s="49" t="s">
        <v>4</v>
      </c>
      <c r="AI145" s="32" t="s">
        <v>4</v>
      </c>
      <c r="AS145" s="26">
        <f>SUM(AJ146:AJ183)</f>
        <v>0</v>
      </c>
      <c r="AT145" s="26">
        <f>SUM(AK146:AK183)</f>
        <v>0</v>
      </c>
      <c r="AU145" s="26">
        <f>SUM(AL146:AL183)</f>
        <v>0</v>
      </c>
    </row>
    <row r="146" spans="1:76" ht="14.4" x14ac:dyDescent="0.3">
      <c r="A146" s="1" t="s">
        <v>279</v>
      </c>
      <c r="B146" s="2" t="s">
        <v>287</v>
      </c>
      <c r="C146" s="75" t="s">
        <v>288</v>
      </c>
      <c r="D146" s="70"/>
      <c r="E146" s="2" t="s">
        <v>115</v>
      </c>
      <c r="F146" s="50">
        <v>26.728999999999999</v>
      </c>
      <c r="G146" s="50">
        <v>0</v>
      </c>
      <c r="H146" s="50">
        <f>ROUND(F146*AO146,2)</f>
        <v>0</v>
      </c>
      <c r="I146" s="50">
        <f>ROUND(F146*AP146,2)</f>
        <v>0</v>
      </c>
      <c r="J146" s="50">
        <f>ROUND(F146*G146,2)</f>
        <v>0</v>
      </c>
      <c r="K146" s="51" t="s">
        <v>116</v>
      </c>
      <c r="Z146" s="50">
        <f>ROUND(IF(AQ146="5",BJ146,0),2)</f>
        <v>0</v>
      </c>
      <c r="AB146" s="50">
        <f>ROUND(IF(AQ146="1",BH146,0),2)</f>
        <v>0</v>
      </c>
      <c r="AC146" s="50">
        <f>ROUND(IF(AQ146="1",BI146,0),2)</f>
        <v>0</v>
      </c>
      <c r="AD146" s="50">
        <f>ROUND(IF(AQ146="7",BH146,0),2)</f>
        <v>0</v>
      </c>
      <c r="AE146" s="50">
        <f>ROUND(IF(AQ146="7",BI146,0),2)</f>
        <v>0</v>
      </c>
      <c r="AF146" s="50">
        <f>ROUND(IF(AQ146="2",BH146,0),2)</f>
        <v>0</v>
      </c>
      <c r="AG146" s="50">
        <f>ROUND(IF(AQ146="2",BI146,0),2)</f>
        <v>0</v>
      </c>
      <c r="AH146" s="50">
        <f>ROUND(IF(AQ146="0",BJ146,0),2)</f>
        <v>0</v>
      </c>
      <c r="AI146" s="32" t="s">
        <v>4</v>
      </c>
      <c r="AJ146" s="50">
        <f>IF(AN146=0,J146,0)</f>
        <v>0</v>
      </c>
      <c r="AK146" s="50">
        <f>IF(AN146=12,J146,0)</f>
        <v>0</v>
      </c>
      <c r="AL146" s="50">
        <f>IF(AN146=21,J146,0)</f>
        <v>0</v>
      </c>
      <c r="AN146" s="50">
        <v>21</v>
      </c>
      <c r="AO146" s="50">
        <f>G146*0.908473928</f>
        <v>0</v>
      </c>
      <c r="AP146" s="50">
        <f>G146*(1-0.908473928)</f>
        <v>0</v>
      </c>
      <c r="AQ146" s="52" t="s">
        <v>112</v>
      </c>
      <c r="AV146" s="50">
        <f>ROUND(AW146+AX146,2)</f>
        <v>0</v>
      </c>
      <c r="AW146" s="50">
        <f>ROUND(F146*AO146,2)</f>
        <v>0</v>
      </c>
      <c r="AX146" s="50">
        <f>ROUND(F146*AP146,2)</f>
        <v>0</v>
      </c>
      <c r="AY146" s="52" t="s">
        <v>289</v>
      </c>
      <c r="AZ146" s="52" t="s">
        <v>227</v>
      </c>
      <c r="BA146" s="32" t="s">
        <v>119</v>
      </c>
      <c r="BC146" s="50">
        <f>AW146+AX146</f>
        <v>0</v>
      </c>
      <c r="BD146" s="50">
        <f>G146/(100-BE146)*100</f>
        <v>0</v>
      </c>
      <c r="BE146" s="50">
        <v>0</v>
      </c>
      <c r="BF146" s="50">
        <f>146</f>
        <v>146</v>
      </c>
      <c r="BH146" s="50">
        <f>F146*AO146</f>
        <v>0</v>
      </c>
      <c r="BI146" s="50">
        <f>F146*AP146</f>
        <v>0</v>
      </c>
      <c r="BJ146" s="50">
        <f>F146*G146</f>
        <v>0</v>
      </c>
      <c r="BK146" s="50"/>
      <c r="BL146" s="50">
        <v>27</v>
      </c>
      <c r="BW146" s="50">
        <v>21</v>
      </c>
      <c r="BX146" s="3" t="s">
        <v>288</v>
      </c>
    </row>
    <row r="147" spans="1:76" ht="14.4" x14ac:dyDescent="0.3">
      <c r="A147" s="53"/>
      <c r="C147" s="54" t="s">
        <v>290</v>
      </c>
      <c r="D147" s="54" t="s">
        <v>4</v>
      </c>
      <c r="F147" s="55">
        <v>21.116</v>
      </c>
      <c r="K147" s="56"/>
    </row>
    <row r="148" spans="1:76" ht="14.4" x14ac:dyDescent="0.3">
      <c r="A148" s="53"/>
      <c r="C148" s="54" t="s">
        <v>291</v>
      </c>
      <c r="D148" s="54" t="s">
        <v>4</v>
      </c>
      <c r="F148" s="55">
        <v>5.6130000000000004</v>
      </c>
      <c r="K148" s="56"/>
    </row>
    <row r="149" spans="1:76" ht="14.4" x14ac:dyDescent="0.3">
      <c r="A149" s="1" t="s">
        <v>292</v>
      </c>
      <c r="B149" s="2" t="s">
        <v>293</v>
      </c>
      <c r="C149" s="75" t="s">
        <v>294</v>
      </c>
      <c r="D149" s="70"/>
      <c r="E149" s="2" t="s">
        <v>216</v>
      </c>
      <c r="F149" s="50">
        <v>26.395</v>
      </c>
      <c r="G149" s="50">
        <v>0</v>
      </c>
      <c r="H149" s="50">
        <f>ROUND(F149*AO149,2)</f>
        <v>0</v>
      </c>
      <c r="I149" s="50">
        <f>ROUND(F149*AP149,2)</f>
        <v>0</v>
      </c>
      <c r="J149" s="50">
        <f>ROUND(F149*G149,2)</f>
        <v>0</v>
      </c>
      <c r="K149" s="51" t="s">
        <v>116</v>
      </c>
      <c r="Z149" s="50">
        <f>ROUND(IF(AQ149="5",BJ149,0),2)</f>
        <v>0</v>
      </c>
      <c r="AB149" s="50">
        <f>ROUND(IF(AQ149="1",BH149,0),2)</f>
        <v>0</v>
      </c>
      <c r="AC149" s="50">
        <f>ROUND(IF(AQ149="1",BI149,0),2)</f>
        <v>0</v>
      </c>
      <c r="AD149" s="50">
        <f>ROUND(IF(AQ149="7",BH149,0),2)</f>
        <v>0</v>
      </c>
      <c r="AE149" s="50">
        <f>ROUND(IF(AQ149="7",BI149,0),2)</f>
        <v>0</v>
      </c>
      <c r="AF149" s="50">
        <f>ROUND(IF(AQ149="2",BH149,0),2)</f>
        <v>0</v>
      </c>
      <c r="AG149" s="50">
        <f>ROUND(IF(AQ149="2",BI149,0),2)</f>
        <v>0</v>
      </c>
      <c r="AH149" s="50">
        <f>ROUND(IF(AQ149="0",BJ149,0),2)</f>
        <v>0</v>
      </c>
      <c r="AI149" s="32" t="s">
        <v>4</v>
      </c>
      <c r="AJ149" s="50">
        <f>IF(AN149=0,J149,0)</f>
        <v>0</v>
      </c>
      <c r="AK149" s="50">
        <f>IF(AN149=12,J149,0)</f>
        <v>0</v>
      </c>
      <c r="AL149" s="50">
        <f>IF(AN149=21,J149,0)</f>
        <v>0</v>
      </c>
      <c r="AN149" s="50">
        <v>21</v>
      </c>
      <c r="AO149" s="50">
        <f>G149*0.302289408</f>
        <v>0</v>
      </c>
      <c r="AP149" s="50">
        <f>G149*(1-0.302289408)</f>
        <v>0</v>
      </c>
      <c r="AQ149" s="52" t="s">
        <v>112</v>
      </c>
      <c r="AV149" s="50">
        <f>ROUND(AW149+AX149,2)</f>
        <v>0</v>
      </c>
      <c r="AW149" s="50">
        <f>ROUND(F149*AO149,2)</f>
        <v>0</v>
      </c>
      <c r="AX149" s="50">
        <f>ROUND(F149*AP149,2)</f>
        <v>0</v>
      </c>
      <c r="AY149" s="52" t="s">
        <v>289</v>
      </c>
      <c r="AZ149" s="52" t="s">
        <v>227</v>
      </c>
      <c r="BA149" s="32" t="s">
        <v>119</v>
      </c>
      <c r="BC149" s="50">
        <f>AW149+AX149</f>
        <v>0</v>
      </c>
      <c r="BD149" s="50">
        <f>G149/(100-BE149)*100</f>
        <v>0</v>
      </c>
      <c r="BE149" s="50">
        <v>0</v>
      </c>
      <c r="BF149" s="50">
        <f>149</f>
        <v>149</v>
      </c>
      <c r="BH149" s="50">
        <f>F149*AO149</f>
        <v>0</v>
      </c>
      <c r="BI149" s="50">
        <f>F149*AP149</f>
        <v>0</v>
      </c>
      <c r="BJ149" s="50">
        <f>F149*G149</f>
        <v>0</v>
      </c>
      <c r="BK149" s="50"/>
      <c r="BL149" s="50">
        <v>27</v>
      </c>
      <c r="BW149" s="50">
        <v>21</v>
      </c>
      <c r="BX149" s="3" t="s">
        <v>294</v>
      </c>
    </row>
    <row r="150" spans="1:76" ht="14.4" x14ac:dyDescent="0.3">
      <c r="A150" s="53"/>
      <c r="C150" s="54" t="s">
        <v>295</v>
      </c>
      <c r="D150" s="54" t="s">
        <v>4</v>
      </c>
      <c r="F150" s="55">
        <v>26.395</v>
      </c>
      <c r="K150" s="56"/>
    </row>
    <row r="151" spans="1:76" ht="14.4" x14ac:dyDescent="0.3">
      <c r="A151" s="1" t="s">
        <v>296</v>
      </c>
      <c r="B151" s="2" t="s">
        <v>297</v>
      </c>
      <c r="C151" s="75" t="s">
        <v>298</v>
      </c>
      <c r="D151" s="70"/>
      <c r="E151" s="2" t="s">
        <v>216</v>
      </c>
      <c r="F151" s="50">
        <v>26.395</v>
      </c>
      <c r="G151" s="50">
        <v>0</v>
      </c>
      <c r="H151" s="50">
        <f>ROUND(F151*AO151,2)</f>
        <v>0</v>
      </c>
      <c r="I151" s="50">
        <f>ROUND(F151*AP151,2)</f>
        <v>0</v>
      </c>
      <c r="J151" s="50">
        <f>ROUND(F151*G151,2)</f>
        <v>0</v>
      </c>
      <c r="K151" s="51" t="s">
        <v>116</v>
      </c>
      <c r="Z151" s="50">
        <f>ROUND(IF(AQ151="5",BJ151,0),2)</f>
        <v>0</v>
      </c>
      <c r="AB151" s="50">
        <f>ROUND(IF(AQ151="1",BH151,0),2)</f>
        <v>0</v>
      </c>
      <c r="AC151" s="50">
        <f>ROUND(IF(AQ151="1",BI151,0),2)</f>
        <v>0</v>
      </c>
      <c r="AD151" s="50">
        <f>ROUND(IF(AQ151="7",BH151,0),2)</f>
        <v>0</v>
      </c>
      <c r="AE151" s="50">
        <f>ROUND(IF(AQ151="7",BI151,0),2)</f>
        <v>0</v>
      </c>
      <c r="AF151" s="50">
        <f>ROUND(IF(AQ151="2",BH151,0),2)</f>
        <v>0</v>
      </c>
      <c r="AG151" s="50">
        <f>ROUND(IF(AQ151="2",BI151,0),2)</f>
        <v>0</v>
      </c>
      <c r="AH151" s="50">
        <f>ROUND(IF(AQ151="0",BJ151,0),2)</f>
        <v>0</v>
      </c>
      <c r="AI151" s="32" t="s">
        <v>4</v>
      </c>
      <c r="AJ151" s="50">
        <f>IF(AN151=0,J151,0)</f>
        <v>0</v>
      </c>
      <c r="AK151" s="50">
        <f>IF(AN151=12,J151,0)</f>
        <v>0</v>
      </c>
      <c r="AL151" s="50">
        <f>IF(AN151=21,J151,0)</f>
        <v>0</v>
      </c>
      <c r="AN151" s="50">
        <v>21</v>
      </c>
      <c r="AO151" s="50">
        <f>G151*0</f>
        <v>0</v>
      </c>
      <c r="AP151" s="50">
        <f>G151*(1-0)</f>
        <v>0</v>
      </c>
      <c r="AQ151" s="52" t="s">
        <v>112</v>
      </c>
      <c r="AV151" s="50">
        <f>ROUND(AW151+AX151,2)</f>
        <v>0</v>
      </c>
      <c r="AW151" s="50">
        <f>ROUND(F151*AO151,2)</f>
        <v>0</v>
      </c>
      <c r="AX151" s="50">
        <f>ROUND(F151*AP151,2)</f>
        <v>0</v>
      </c>
      <c r="AY151" s="52" t="s">
        <v>289</v>
      </c>
      <c r="AZ151" s="52" t="s">
        <v>227</v>
      </c>
      <c r="BA151" s="32" t="s">
        <v>119</v>
      </c>
      <c r="BC151" s="50">
        <f>AW151+AX151</f>
        <v>0</v>
      </c>
      <c r="BD151" s="50">
        <f>G151/(100-BE151)*100</f>
        <v>0</v>
      </c>
      <c r="BE151" s="50">
        <v>0</v>
      </c>
      <c r="BF151" s="50">
        <f>151</f>
        <v>151</v>
      </c>
      <c r="BH151" s="50">
        <f>F151*AO151</f>
        <v>0</v>
      </c>
      <c r="BI151" s="50">
        <f>F151*AP151</f>
        <v>0</v>
      </c>
      <c r="BJ151" s="50">
        <f>F151*G151</f>
        <v>0</v>
      </c>
      <c r="BK151" s="50"/>
      <c r="BL151" s="50">
        <v>27</v>
      </c>
      <c r="BW151" s="50">
        <v>21</v>
      </c>
      <c r="BX151" s="3" t="s">
        <v>298</v>
      </c>
    </row>
    <row r="152" spans="1:76" ht="14.4" x14ac:dyDescent="0.3">
      <c r="A152" s="53"/>
      <c r="C152" s="54" t="s">
        <v>295</v>
      </c>
      <c r="D152" s="54" t="s">
        <v>4</v>
      </c>
      <c r="F152" s="55">
        <v>26.395</v>
      </c>
      <c r="K152" s="56"/>
    </row>
    <row r="153" spans="1:76" ht="14.4" x14ac:dyDescent="0.3">
      <c r="A153" s="1" t="s">
        <v>299</v>
      </c>
      <c r="B153" s="2" t="s">
        <v>300</v>
      </c>
      <c r="C153" s="75" t="s">
        <v>301</v>
      </c>
      <c r="D153" s="70"/>
      <c r="E153" s="2" t="s">
        <v>216</v>
      </c>
      <c r="F153" s="50">
        <v>77.234999999999999</v>
      </c>
      <c r="G153" s="50">
        <v>0</v>
      </c>
      <c r="H153" s="50">
        <f>ROUND(F153*AO153,2)</f>
        <v>0</v>
      </c>
      <c r="I153" s="50">
        <f>ROUND(F153*AP153,2)</f>
        <v>0</v>
      </c>
      <c r="J153" s="50">
        <f>ROUND(F153*G153,2)</f>
        <v>0</v>
      </c>
      <c r="K153" s="51" t="s">
        <v>116</v>
      </c>
      <c r="Z153" s="50">
        <f>ROUND(IF(AQ153="5",BJ153,0),2)</f>
        <v>0</v>
      </c>
      <c r="AB153" s="50">
        <f>ROUND(IF(AQ153="1",BH153,0),2)</f>
        <v>0</v>
      </c>
      <c r="AC153" s="50">
        <f>ROUND(IF(AQ153="1",BI153,0),2)</f>
        <v>0</v>
      </c>
      <c r="AD153" s="50">
        <f>ROUND(IF(AQ153="7",BH153,0),2)</f>
        <v>0</v>
      </c>
      <c r="AE153" s="50">
        <f>ROUND(IF(AQ153="7",BI153,0),2)</f>
        <v>0</v>
      </c>
      <c r="AF153" s="50">
        <f>ROUND(IF(AQ153="2",BH153,0),2)</f>
        <v>0</v>
      </c>
      <c r="AG153" s="50">
        <f>ROUND(IF(AQ153="2",BI153,0),2)</f>
        <v>0</v>
      </c>
      <c r="AH153" s="50">
        <f>ROUND(IF(AQ153="0",BJ153,0),2)</f>
        <v>0</v>
      </c>
      <c r="AI153" s="32" t="s">
        <v>4</v>
      </c>
      <c r="AJ153" s="50">
        <f>IF(AN153=0,J153,0)</f>
        <v>0</v>
      </c>
      <c r="AK153" s="50">
        <f>IF(AN153=12,J153,0)</f>
        <v>0</v>
      </c>
      <c r="AL153" s="50">
        <f>IF(AN153=21,J153,0)</f>
        <v>0</v>
      </c>
      <c r="AN153" s="50">
        <v>21</v>
      </c>
      <c r="AO153" s="50">
        <f>G153*0.750165065</f>
        <v>0</v>
      </c>
      <c r="AP153" s="50">
        <f>G153*(1-0.750165065)</f>
        <v>0</v>
      </c>
      <c r="AQ153" s="52" t="s">
        <v>112</v>
      </c>
      <c r="AV153" s="50">
        <f>ROUND(AW153+AX153,2)</f>
        <v>0</v>
      </c>
      <c r="AW153" s="50">
        <f>ROUND(F153*AO153,2)</f>
        <v>0</v>
      </c>
      <c r="AX153" s="50">
        <f>ROUND(F153*AP153,2)</f>
        <v>0</v>
      </c>
      <c r="AY153" s="52" t="s">
        <v>289</v>
      </c>
      <c r="AZ153" s="52" t="s">
        <v>227</v>
      </c>
      <c r="BA153" s="32" t="s">
        <v>119</v>
      </c>
      <c r="BC153" s="50">
        <f>AW153+AX153</f>
        <v>0</v>
      </c>
      <c r="BD153" s="50">
        <f>G153/(100-BE153)*100</f>
        <v>0</v>
      </c>
      <c r="BE153" s="50">
        <v>0</v>
      </c>
      <c r="BF153" s="50">
        <f>153</f>
        <v>153</v>
      </c>
      <c r="BH153" s="50">
        <f>F153*AO153</f>
        <v>0</v>
      </c>
      <c r="BI153" s="50">
        <f>F153*AP153</f>
        <v>0</v>
      </c>
      <c r="BJ153" s="50">
        <f>F153*G153</f>
        <v>0</v>
      </c>
      <c r="BK153" s="50"/>
      <c r="BL153" s="50">
        <v>27</v>
      </c>
      <c r="BW153" s="50">
        <v>21</v>
      </c>
      <c r="BX153" s="3" t="s">
        <v>301</v>
      </c>
    </row>
    <row r="154" spans="1:76" ht="13.5" customHeight="1" x14ac:dyDescent="0.3">
      <c r="A154" s="53"/>
      <c r="B154" s="57" t="s">
        <v>198</v>
      </c>
      <c r="C154" s="150" t="s">
        <v>302</v>
      </c>
      <c r="D154" s="151"/>
      <c r="E154" s="151"/>
      <c r="F154" s="151"/>
      <c r="G154" s="151"/>
      <c r="H154" s="151"/>
      <c r="I154" s="151"/>
      <c r="J154" s="151"/>
      <c r="K154" s="152"/>
    </row>
    <row r="155" spans="1:76" ht="14.4" x14ac:dyDescent="0.3">
      <c r="A155" s="53"/>
      <c r="C155" s="54" t="s">
        <v>303</v>
      </c>
      <c r="D155" s="54" t="s">
        <v>4</v>
      </c>
      <c r="F155" s="55">
        <v>77.234999999999999</v>
      </c>
      <c r="K155" s="56"/>
    </row>
    <row r="156" spans="1:76" ht="14.4" x14ac:dyDescent="0.3">
      <c r="A156" s="1" t="s">
        <v>304</v>
      </c>
      <c r="B156" s="2" t="s">
        <v>305</v>
      </c>
      <c r="C156" s="75" t="s">
        <v>306</v>
      </c>
      <c r="D156" s="70"/>
      <c r="E156" s="2" t="s">
        <v>216</v>
      </c>
      <c r="F156" s="50">
        <v>28.934999999999999</v>
      </c>
      <c r="G156" s="50">
        <v>0</v>
      </c>
      <c r="H156" s="50">
        <f>ROUND(F156*AO156,2)</f>
        <v>0</v>
      </c>
      <c r="I156" s="50">
        <f>ROUND(F156*AP156,2)</f>
        <v>0</v>
      </c>
      <c r="J156" s="50">
        <f>ROUND(F156*G156,2)</f>
        <v>0</v>
      </c>
      <c r="K156" s="51" t="s">
        <v>116</v>
      </c>
      <c r="Z156" s="50">
        <f>ROUND(IF(AQ156="5",BJ156,0),2)</f>
        <v>0</v>
      </c>
      <c r="AB156" s="50">
        <f>ROUND(IF(AQ156="1",BH156,0),2)</f>
        <v>0</v>
      </c>
      <c r="AC156" s="50">
        <f>ROUND(IF(AQ156="1",BI156,0),2)</f>
        <v>0</v>
      </c>
      <c r="AD156" s="50">
        <f>ROUND(IF(AQ156="7",BH156,0),2)</f>
        <v>0</v>
      </c>
      <c r="AE156" s="50">
        <f>ROUND(IF(AQ156="7",BI156,0),2)</f>
        <v>0</v>
      </c>
      <c r="AF156" s="50">
        <f>ROUND(IF(AQ156="2",BH156,0),2)</f>
        <v>0</v>
      </c>
      <c r="AG156" s="50">
        <f>ROUND(IF(AQ156="2",BI156,0),2)</f>
        <v>0</v>
      </c>
      <c r="AH156" s="50">
        <f>ROUND(IF(AQ156="0",BJ156,0),2)</f>
        <v>0</v>
      </c>
      <c r="AI156" s="32" t="s">
        <v>4</v>
      </c>
      <c r="AJ156" s="50">
        <f>IF(AN156=0,J156,0)</f>
        <v>0</v>
      </c>
      <c r="AK156" s="50">
        <f>IF(AN156=12,J156,0)</f>
        <v>0</v>
      </c>
      <c r="AL156" s="50">
        <f>IF(AN156=21,J156,0)</f>
        <v>0</v>
      </c>
      <c r="AN156" s="50">
        <v>21</v>
      </c>
      <c r="AO156" s="50">
        <f>G156*0.687936441</f>
        <v>0</v>
      </c>
      <c r="AP156" s="50">
        <f>G156*(1-0.687936441)</f>
        <v>0</v>
      </c>
      <c r="AQ156" s="52" t="s">
        <v>112</v>
      </c>
      <c r="AV156" s="50">
        <f>ROUND(AW156+AX156,2)</f>
        <v>0</v>
      </c>
      <c r="AW156" s="50">
        <f>ROUND(F156*AO156,2)</f>
        <v>0</v>
      </c>
      <c r="AX156" s="50">
        <f>ROUND(F156*AP156,2)</f>
        <v>0</v>
      </c>
      <c r="AY156" s="52" t="s">
        <v>289</v>
      </c>
      <c r="AZ156" s="52" t="s">
        <v>227</v>
      </c>
      <c r="BA156" s="32" t="s">
        <v>119</v>
      </c>
      <c r="BC156" s="50">
        <f>AW156+AX156</f>
        <v>0</v>
      </c>
      <c r="BD156" s="50">
        <f>G156/(100-BE156)*100</f>
        <v>0</v>
      </c>
      <c r="BE156" s="50">
        <v>0</v>
      </c>
      <c r="BF156" s="50">
        <f>156</f>
        <v>156</v>
      </c>
      <c r="BH156" s="50">
        <f>F156*AO156</f>
        <v>0</v>
      </c>
      <c r="BI156" s="50">
        <f>F156*AP156</f>
        <v>0</v>
      </c>
      <c r="BJ156" s="50">
        <f>F156*G156</f>
        <v>0</v>
      </c>
      <c r="BK156" s="50"/>
      <c r="BL156" s="50">
        <v>27</v>
      </c>
      <c r="BW156" s="50">
        <v>21</v>
      </c>
      <c r="BX156" s="3" t="s">
        <v>306</v>
      </c>
    </row>
    <row r="157" spans="1:76" ht="13.5" customHeight="1" x14ac:dyDescent="0.3">
      <c r="A157" s="53"/>
      <c r="B157" s="57" t="s">
        <v>198</v>
      </c>
      <c r="C157" s="150" t="s">
        <v>302</v>
      </c>
      <c r="D157" s="151"/>
      <c r="E157" s="151"/>
      <c r="F157" s="151"/>
      <c r="G157" s="151"/>
      <c r="H157" s="151"/>
      <c r="I157" s="151"/>
      <c r="J157" s="151"/>
      <c r="K157" s="152"/>
    </row>
    <row r="158" spans="1:76" ht="14.4" x14ac:dyDescent="0.3">
      <c r="A158" s="53"/>
      <c r="C158" s="54" t="s">
        <v>307</v>
      </c>
      <c r="D158" s="54" t="s">
        <v>4</v>
      </c>
      <c r="F158" s="55">
        <v>28.934999999999999</v>
      </c>
      <c r="K158" s="56"/>
    </row>
    <row r="159" spans="1:76" ht="14.4" x14ac:dyDescent="0.3">
      <c r="A159" s="1" t="s">
        <v>308</v>
      </c>
      <c r="B159" s="2" t="s">
        <v>309</v>
      </c>
      <c r="C159" s="75" t="s">
        <v>310</v>
      </c>
      <c r="D159" s="70"/>
      <c r="E159" s="2" t="s">
        <v>115</v>
      </c>
      <c r="F159" s="50">
        <v>18.657</v>
      </c>
      <c r="G159" s="50">
        <v>0</v>
      </c>
      <c r="H159" s="50">
        <f>ROUND(F159*AO159,2)</f>
        <v>0</v>
      </c>
      <c r="I159" s="50">
        <f>ROUND(F159*AP159,2)</f>
        <v>0</v>
      </c>
      <c r="J159" s="50">
        <f>ROUND(F159*G159,2)</f>
        <v>0</v>
      </c>
      <c r="K159" s="51" t="s">
        <v>116</v>
      </c>
      <c r="Z159" s="50">
        <f>ROUND(IF(AQ159="5",BJ159,0),2)</f>
        <v>0</v>
      </c>
      <c r="AB159" s="50">
        <f>ROUND(IF(AQ159="1",BH159,0),2)</f>
        <v>0</v>
      </c>
      <c r="AC159" s="50">
        <f>ROUND(IF(AQ159="1",BI159,0),2)</f>
        <v>0</v>
      </c>
      <c r="AD159" s="50">
        <f>ROUND(IF(AQ159="7",BH159,0),2)</f>
        <v>0</v>
      </c>
      <c r="AE159" s="50">
        <f>ROUND(IF(AQ159="7",BI159,0),2)</f>
        <v>0</v>
      </c>
      <c r="AF159" s="50">
        <f>ROUND(IF(AQ159="2",BH159,0),2)</f>
        <v>0</v>
      </c>
      <c r="AG159" s="50">
        <f>ROUND(IF(AQ159="2",BI159,0),2)</f>
        <v>0</v>
      </c>
      <c r="AH159" s="50">
        <f>ROUND(IF(AQ159="0",BJ159,0),2)</f>
        <v>0</v>
      </c>
      <c r="AI159" s="32" t="s">
        <v>4</v>
      </c>
      <c r="AJ159" s="50">
        <f>IF(AN159=0,J159,0)</f>
        <v>0</v>
      </c>
      <c r="AK159" s="50">
        <f>IF(AN159=12,J159,0)</f>
        <v>0</v>
      </c>
      <c r="AL159" s="50">
        <f>IF(AN159=21,J159,0)</f>
        <v>0</v>
      </c>
      <c r="AN159" s="50">
        <v>21</v>
      </c>
      <c r="AO159" s="50">
        <f>G159*0.615216755</f>
        <v>0</v>
      </c>
      <c r="AP159" s="50">
        <f>G159*(1-0.615216755)</f>
        <v>0</v>
      </c>
      <c r="AQ159" s="52" t="s">
        <v>112</v>
      </c>
      <c r="AV159" s="50">
        <f>ROUND(AW159+AX159,2)</f>
        <v>0</v>
      </c>
      <c r="AW159" s="50">
        <f>ROUND(F159*AO159,2)</f>
        <v>0</v>
      </c>
      <c r="AX159" s="50">
        <f>ROUND(F159*AP159,2)</f>
        <v>0</v>
      </c>
      <c r="AY159" s="52" t="s">
        <v>289</v>
      </c>
      <c r="AZ159" s="52" t="s">
        <v>227</v>
      </c>
      <c r="BA159" s="32" t="s">
        <v>119</v>
      </c>
      <c r="BC159" s="50">
        <f>AW159+AX159</f>
        <v>0</v>
      </c>
      <c r="BD159" s="50">
        <f>G159/(100-BE159)*100</f>
        <v>0</v>
      </c>
      <c r="BE159" s="50">
        <v>0</v>
      </c>
      <c r="BF159" s="50">
        <f>159</f>
        <v>159</v>
      </c>
      <c r="BH159" s="50">
        <f>F159*AO159</f>
        <v>0</v>
      </c>
      <c r="BI159" s="50">
        <f>F159*AP159</f>
        <v>0</v>
      </c>
      <c r="BJ159" s="50">
        <f>F159*G159</f>
        <v>0</v>
      </c>
      <c r="BK159" s="50"/>
      <c r="BL159" s="50">
        <v>27</v>
      </c>
      <c r="BW159" s="50">
        <v>21</v>
      </c>
      <c r="BX159" s="3" t="s">
        <v>310</v>
      </c>
    </row>
    <row r="160" spans="1:76" ht="14.4" x14ac:dyDescent="0.3">
      <c r="A160" s="53"/>
      <c r="C160" s="54" t="s">
        <v>311</v>
      </c>
      <c r="D160" s="54" t="s">
        <v>4</v>
      </c>
      <c r="F160" s="55">
        <v>14.577</v>
      </c>
      <c r="K160" s="56"/>
    </row>
    <row r="161" spans="1:76" ht="14.4" x14ac:dyDescent="0.3">
      <c r="A161" s="53"/>
      <c r="C161" s="54" t="s">
        <v>312</v>
      </c>
      <c r="D161" s="54" t="s">
        <v>4</v>
      </c>
      <c r="F161" s="55">
        <v>4.08</v>
      </c>
      <c r="K161" s="56"/>
    </row>
    <row r="162" spans="1:76" ht="14.4" x14ac:dyDescent="0.3">
      <c r="A162" s="1" t="s">
        <v>313</v>
      </c>
      <c r="B162" s="2" t="s">
        <v>314</v>
      </c>
      <c r="C162" s="75" t="s">
        <v>315</v>
      </c>
      <c r="D162" s="70"/>
      <c r="E162" s="2" t="s">
        <v>115</v>
      </c>
      <c r="F162" s="50">
        <v>19.202999999999999</v>
      </c>
      <c r="G162" s="50">
        <v>0</v>
      </c>
      <c r="H162" s="50">
        <f>ROUND(F162*AO162,2)</f>
        <v>0</v>
      </c>
      <c r="I162" s="50">
        <f>ROUND(F162*AP162,2)</f>
        <v>0</v>
      </c>
      <c r="J162" s="50">
        <f>ROUND(F162*G162,2)</f>
        <v>0</v>
      </c>
      <c r="K162" s="51" t="s">
        <v>116</v>
      </c>
      <c r="Z162" s="50">
        <f>ROUND(IF(AQ162="5",BJ162,0),2)</f>
        <v>0</v>
      </c>
      <c r="AB162" s="50">
        <f>ROUND(IF(AQ162="1",BH162,0),2)</f>
        <v>0</v>
      </c>
      <c r="AC162" s="50">
        <f>ROUND(IF(AQ162="1",BI162,0),2)</f>
        <v>0</v>
      </c>
      <c r="AD162" s="50">
        <f>ROUND(IF(AQ162="7",BH162,0),2)</f>
        <v>0</v>
      </c>
      <c r="AE162" s="50">
        <f>ROUND(IF(AQ162="7",BI162,0),2)</f>
        <v>0</v>
      </c>
      <c r="AF162" s="50">
        <f>ROUND(IF(AQ162="2",BH162,0),2)</f>
        <v>0</v>
      </c>
      <c r="AG162" s="50">
        <f>ROUND(IF(AQ162="2",BI162,0),2)</f>
        <v>0</v>
      </c>
      <c r="AH162" s="50">
        <f>ROUND(IF(AQ162="0",BJ162,0),2)</f>
        <v>0</v>
      </c>
      <c r="AI162" s="32" t="s">
        <v>4</v>
      </c>
      <c r="AJ162" s="50">
        <f>IF(AN162=0,J162,0)</f>
        <v>0</v>
      </c>
      <c r="AK162" s="50">
        <f>IF(AN162=12,J162,0)</f>
        <v>0</v>
      </c>
      <c r="AL162" s="50">
        <f>IF(AN162=21,J162,0)</f>
        <v>0</v>
      </c>
      <c r="AN162" s="50">
        <v>21</v>
      </c>
      <c r="AO162" s="50">
        <f>G162*0.908473987</f>
        <v>0</v>
      </c>
      <c r="AP162" s="50">
        <f>G162*(1-0.908473987)</f>
        <v>0</v>
      </c>
      <c r="AQ162" s="52" t="s">
        <v>112</v>
      </c>
      <c r="AV162" s="50">
        <f>ROUND(AW162+AX162,2)</f>
        <v>0</v>
      </c>
      <c r="AW162" s="50">
        <f>ROUND(F162*AO162,2)</f>
        <v>0</v>
      </c>
      <c r="AX162" s="50">
        <f>ROUND(F162*AP162,2)</f>
        <v>0</v>
      </c>
      <c r="AY162" s="52" t="s">
        <v>289</v>
      </c>
      <c r="AZ162" s="52" t="s">
        <v>227</v>
      </c>
      <c r="BA162" s="32" t="s">
        <v>119</v>
      </c>
      <c r="BC162" s="50">
        <f>AW162+AX162</f>
        <v>0</v>
      </c>
      <c r="BD162" s="50">
        <f>G162/(100-BE162)*100</f>
        <v>0</v>
      </c>
      <c r="BE162" s="50">
        <v>0</v>
      </c>
      <c r="BF162" s="50">
        <f>162</f>
        <v>162</v>
      </c>
      <c r="BH162" s="50">
        <f>F162*AO162</f>
        <v>0</v>
      </c>
      <c r="BI162" s="50">
        <f>F162*AP162</f>
        <v>0</v>
      </c>
      <c r="BJ162" s="50">
        <f>F162*G162</f>
        <v>0</v>
      </c>
      <c r="BK162" s="50"/>
      <c r="BL162" s="50">
        <v>27</v>
      </c>
      <c r="BW162" s="50">
        <v>21</v>
      </c>
      <c r="BX162" s="3" t="s">
        <v>315</v>
      </c>
    </row>
    <row r="163" spans="1:76" ht="14.4" x14ac:dyDescent="0.3">
      <c r="A163" s="53"/>
      <c r="C163" s="54" t="s">
        <v>316</v>
      </c>
      <c r="D163" s="54" t="s">
        <v>4</v>
      </c>
      <c r="F163" s="55">
        <v>19.202999999999999</v>
      </c>
      <c r="K163" s="56"/>
    </row>
    <row r="164" spans="1:76" ht="14.4" x14ac:dyDescent="0.3">
      <c r="A164" s="1" t="s">
        <v>317</v>
      </c>
      <c r="B164" s="2" t="s">
        <v>318</v>
      </c>
      <c r="C164" s="75" t="s">
        <v>319</v>
      </c>
      <c r="D164" s="70"/>
      <c r="E164" s="2" t="s">
        <v>216</v>
      </c>
      <c r="F164" s="50">
        <v>10.316000000000001</v>
      </c>
      <c r="G164" s="50">
        <v>0</v>
      </c>
      <c r="H164" s="50">
        <f>ROUND(F164*AO164,2)</f>
        <v>0</v>
      </c>
      <c r="I164" s="50">
        <f>ROUND(F164*AP164,2)</f>
        <v>0</v>
      </c>
      <c r="J164" s="50">
        <f>ROUND(F164*G164,2)</f>
        <v>0</v>
      </c>
      <c r="K164" s="51" t="s">
        <v>116</v>
      </c>
      <c r="Z164" s="50">
        <f>ROUND(IF(AQ164="5",BJ164,0),2)</f>
        <v>0</v>
      </c>
      <c r="AB164" s="50">
        <f>ROUND(IF(AQ164="1",BH164,0),2)</f>
        <v>0</v>
      </c>
      <c r="AC164" s="50">
        <f>ROUND(IF(AQ164="1",BI164,0),2)</f>
        <v>0</v>
      </c>
      <c r="AD164" s="50">
        <f>ROUND(IF(AQ164="7",BH164,0),2)</f>
        <v>0</v>
      </c>
      <c r="AE164" s="50">
        <f>ROUND(IF(AQ164="7",BI164,0),2)</f>
        <v>0</v>
      </c>
      <c r="AF164" s="50">
        <f>ROUND(IF(AQ164="2",BH164,0),2)</f>
        <v>0</v>
      </c>
      <c r="AG164" s="50">
        <f>ROUND(IF(AQ164="2",BI164,0),2)</f>
        <v>0</v>
      </c>
      <c r="AH164" s="50">
        <f>ROUND(IF(AQ164="0",BJ164,0),2)</f>
        <v>0</v>
      </c>
      <c r="AI164" s="32" t="s">
        <v>4</v>
      </c>
      <c r="AJ164" s="50">
        <f>IF(AN164=0,J164,0)</f>
        <v>0</v>
      </c>
      <c r="AK164" s="50">
        <f>IF(AN164=12,J164,0)</f>
        <v>0</v>
      </c>
      <c r="AL164" s="50">
        <f>IF(AN164=21,J164,0)</f>
        <v>0</v>
      </c>
      <c r="AN164" s="50">
        <v>21</v>
      </c>
      <c r="AO164" s="50">
        <f>G164*0.233783821</f>
        <v>0</v>
      </c>
      <c r="AP164" s="50">
        <f>G164*(1-0.233783821)</f>
        <v>0</v>
      </c>
      <c r="AQ164" s="52" t="s">
        <v>112</v>
      </c>
      <c r="AV164" s="50">
        <f>ROUND(AW164+AX164,2)</f>
        <v>0</v>
      </c>
      <c r="AW164" s="50">
        <f>ROUND(F164*AO164,2)</f>
        <v>0</v>
      </c>
      <c r="AX164" s="50">
        <f>ROUND(F164*AP164,2)</f>
        <v>0</v>
      </c>
      <c r="AY164" s="52" t="s">
        <v>289</v>
      </c>
      <c r="AZ164" s="52" t="s">
        <v>227</v>
      </c>
      <c r="BA164" s="32" t="s">
        <v>119</v>
      </c>
      <c r="BC164" s="50">
        <f>AW164+AX164</f>
        <v>0</v>
      </c>
      <c r="BD164" s="50">
        <f>G164/(100-BE164)*100</f>
        <v>0</v>
      </c>
      <c r="BE164" s="50">
        <v>0</v>
      </c>
      <c r="BF164" s="50">
        <f>164</f>
        <v>164</v>
      </c>
      <c r="BH164" s="50">
        <f>F164*AO164</f>
        <v>0</v>
      </c>
      <c r="BI164" s="50">
        <f>F164*AP164</f>
        <v>0</v>
      </c>
      <c r="BJ164" s="50">
        <f>F164*G164</f>
        <v>0</v>
      </c>
      <c r="BK164" s="50"/>
      <c r="BL164" s="50">
        <v>27</v>
      </c>
      <c r="BW164" s="50">
        <v>21</v>
      </c>
      <c r="BX164" s="3" t="s">
        <v>319</v>
      </c>
    </row>
    <row r="165" spans="1:76" ht="14.4" x14ac:dyDescent="0.3">
      <c r="A165" s="53"/>
      <c r="C165" s="54" t="s">
        <v>320</v>
      </c>
      <c r="D165" s="54" t="s">
        <v>4</v>
      </c>
      <c r="F165" s="55">
        <v>10.316000000000001</v>
      </c>
      <c r="K165" s="56"/>
    </row>
    <row r="166" spans="1:76" ht="14.4" x14ac:dyDescent="0.3">
      <c r="A166" s="1" t="s">
        <v>321</v>
      </c>
      <c r="B166" s="2" t="s">
        <v>322</v>
      </c>
      <c r="C166" s="75" t="s">
        <v>323</v>
      </c>
      <c r="D166" s="70"/>
      <c r="E166" s="2" t="s">
        <v>216</v>
      </c>
      <c r="F166" s="50">
        <v>10.316000000000001</v>
      </c>
      <c r="G166" s="50">
        <v>0</v>
      </c>
      <c r="H166" s="50">
        <f>ROUND(F166*AO166,2)</f>
        <v>0</v>
      </c>
      <c r="I166" s="50">
        <f>ROUND(F166*AP166,2)</f>
        <v>0</v>
      </c>
      <c r="J166" s="50">
        <f>ROUND(F166*G166,2)</f>
        <v>0</v>
      </c>
      <c r="K166" s="51" t="s">
        <v>116</v>
      </c>
      <c r="Z166" s="50">
        <f>ROUND(IF(AQ166="5",BJ166,0),2)</f>
        <v>0</v>
      </c>
      <c r="AB166" s="50">
        <f>ROUND(IF(AQ166="1",BH166,0),2)</f>
        <v>0</v>
      </c>
      <c r="AC166" s="50">
        <f>ROUND(IF(AQ166="1",BI166,0),2)</f>
        <v>0</v>
      </c>
      <c r="AD166" s="50">
        <f>ROUND(IF(AQ166="7",BH166,0),2)</f>
        <v>0</v>
      </c>
      <c r="AE166" s="50">
        <f>ROUND(IF(AQ166="7",BI166,0),2)</f>
        <v>0</v>
      </c>
      <c r="AF166" s="50">
        <f>ROUND(IF(AQ166="2",BH166,0),2)</f>
        <v>0</v>
      </c>
      <c r="AG166" s="50">
        <f>ROUND(IF(AQ166="2",BI166,0),2)</f>
        <v>0</v>
      </c>
      <c r="AH166" s="50">
        <f>ROUND(IF(AQ166="0",BJ166,0),2)</f>
        <v>0</v>
      </c>
      <c r="AI166" s="32" t="s">
        <v>4</v>
      </c>
      <c r="AJ166" s="50">
        <f>IF(AN166=0,J166,0)</f>
        <v>0</v>
      </c>
      <c r="AK166" s="50">
        <f>IF(AN166=12,J166,0)</f>
        <v>0</v>
      </c>
      <c r="AL166" s="50">
        <f>IF(AN166=21,J166,0)</f>
        <v>0</v>
      </c>
      <c r="AN166" s="50">
        <v>21</v>
      </c>
      <c r="AO166" s="50">
        <f>G166*0</f>
        <v>0</v>
      </c>
      <c r="AP166" s="50">
        <f>G166*(1-0)</f>
        <v>0</v>
      </c>
      <c r="AQ166" s="52" t="s">
        <v>112</v>
      </c>
      <c r="AV166" s="50">
        <f>ROUND(AW166+AX166,2)</f>
        <v>0</v>
      </c>
      <c r="AW166" s="50">
        <f>ROUND(F166*AO166,2)</f>
        <v>0</v>
      </c>
      <c r="AX166" s="50">
        <f>ROUND(F166*AP166,2)</f>
        <v>0</v>
      </c>
      <c r="AY166" s="52" t="s">
        <v>289</v>
      </c>
      <c r="AZ166" s="52" t="s">
        <v>227</v>
      </c>
      <c r="BA166" s="32" t="s">
        <v>119</v>
      </c>
      <c r="BC166" s="50">
        <f>AW166+AX166</f>
        <v>0</v>
      </c>
      <c r="BD166" s="50">
        <f>G166/(100-BE166)*100</f>
        <v>0</v>
      </c>
      <c r="BE166" s="50">
        <v>0</v>
      </c>
      <c r="BF166" s="50">
        <f>166</f>
        <v>166</v>
      </c>
      <c r="BH166" s="50">
        <f>F166*AO166</f>
        <v>0</v>
      </c>
      <c r="BI166" s="50">
        <f>F166*AP166</f>
        <v>0</v>
      </c>
      <c r="BJ166" s="50">
        <f>F166*G166</f>
        <v>0</v>
      </c>
      <c r="BK166" s="50"/>
      <c r="BL166" s="50">
        <v>27</v>
      </c>
      <c r="BW166" s="50">
        <v>21</v>
      </c>
      <c r="BX166" s="3" t="s">
        <v>323</v>
      </c>
    </row>
    <row r="167" spans="1:76" ht="14.4" x14ac:dyDescent="0.3">
      <c r="A167" s="53"/>
      <c r="C167" s="54" t="s">
        <v>320</v>
      </c>
      <c r="D167" s="54" t="s">
        <v>4</v>
      </c>
      <c r="F167" s="55">
        <v>10.316000000000001</v>
      </c>
      <c r="K167" s="56"/>
    </row>
    <row r="168" spans="1:76" ht="14.4" x14ac:dyDescent="0.3">
      <c r="A168" s="1" t="s">
        <v>324</v>
      </c>
      <c r="B168" s="2" t="s">
        <v>325</v>
      </c>
      <c r="C168" s="75" t="s">
        <v>326</v>
      </c>
      <c r="D168" s="70"/>
      <c r="E168" s="2" t="s">
        <v>173</v>
      </c>
      <c r="F168" s="50">
        <v>0.77580000000000005</v>
      </c>
      <c r="G168" s="50">
        <v>0</v>
      </c>
      <c r="H168" s="50">
        <f>ROUND(F168*AO168,2)</f>
        <v>0</v>
      </c>
      <c r="I168" s="50">
        <f>ROUND(F168*AP168,2)</f>
        <v>0</v>
      </c>
      <c r="J168" s="50">
        <f>ROUND(F168*G168,2)</f>
        <v>0</v>
      </c>
      <c r="K168" s="51" t="s">
        <v>116</v>
      </c>
      <c r="Z168" s="50">
        <f>ROUND(IF(AQ168="5",BJ168,0),2)</f>
        <v>0</v>
      </c>
      <c r="AB168" s="50">
        <f>ROUND(IF(AQ168="1",BH168,0),2)</f>
        <v>0</v>
      </c>
      <c r="AC168" s="50">
        <f>ROUND(IF(AQ168="1",BI168,0),2)</f>
        <v>0</v>
      </c>
      <c r="AD168" s="50">
        <f>ROUND(IF(AQ168="7",BH168,0),2)</f>
        <v>0</v>
      </c>
      <c r="AE168" s="50">
        <f>ROUND(IF(AQ168="7",BI168,0),2)</f>
        <v>0</v>
      </c>
      <c r="AF168" s="50">
        <f>ROUND(IF(AQ168="2",BH168,0),2)</f>
        <v>0</v>
      </c>
      <c r="AG168" s="50">
        <f>ROUND(IF(AQ168="2",BI168,0),2)</f>
        <v>0</v>
      </c>
      <c r="AH168" s="50">
        <f>ROUND(IF(AQ168="0",BJ168,0),2)</f>
        <v>0</v>
      </c>
      <c r="AI168" s="32" t="s">
        <v>4</v>
      </c>
      <c r="AJ168" s="50">
        <f>IF(AN168=0,J168,0)</f>
        <v>0</v>
      </c>
      <c r="AK168" s="50">
        <f>IF(AN168=12,J168,0)</f>
        <v>0</v>
      </c>
      <c r="AL168" s="50">
        <f>IF(AN168=21,J168,0)</f>
        <v>0</v>
      </c>
      <c r="AN168" s="50">
        <v>21</v>
      </c>
      <c r="AO168" s="50">
        <f>G168*0.790852698</f>
        <v>0</v>
      </c>
      <c r="AP168" s="50">
        <f>G168*(1-0.790852698)</f>
        <v>0</v>
      </c>
      <c r="AQ168" s="52" t="s">
        <v>112</v>
      </c>
      <c r="AV168" s="50">
        <f>ROUND(AW168+AX168,2)</f>
        <v>0</v>
      </c>
      <c r="AW168" s="50">
        <f>ROUND(F168*AO168,2)</f>
        <v>0</v>
      </c>
      <c r="AX168" s="50">
        <f>ROUND(F168*AP168,2)</f>
        <v>0</v>
      </c>
      <c r="AY168" s="52" t="s">
        <v>289</v>
      </c>
      <c r="AZ168" s="52" t="s">
        <v>227</v>
      </c>
      <c r="BA168" s="32" t="s">
        <v>119</v>
      </c>
      <c r="BC168" s="50">
        <f>AW168+AX168</f>
        <v>0</v>
      </c>
      <c r="BD168" s="50">
        <f>G168/(100-BE168)*100</f>
        <v>0</v>
      </c>
      <c r="BE168" s="50">
        <v>0</v>
      </c>
      <c r="BF168" s="50">
        <f>168</f>
        <v>168</v>
      </c>
      <c r="BH168" s="50">
        <f>F168*AO168</f>
        <v>0</v>
      </c>
      <c r="BI168" s="50">
        <f>F168*AP168</f>
        <v>0</v>
      </c>
      <c r="BJ168" s="50">
        <f>F168*G168</f>
        <v>0</v>
      </c>
      <c r="BK168" s="50"/>
      <c r="BL168" s="50">
        <v>27</v>
      </c>
      <c r="BW168" s="50">
        <v>21</v>
      </c>
      <c r="BX168" s="3" t="s">
        <v>326</v>
      </c>
    </row>
    <row r="169" spans="1:76" ht="13.5" customHeight="1" x14ac:dyDescent="0.3">
      <c r="A169" s="53"/>
      <c r="B169" s="57" t="s">
        <v>198</v>
      </c>
      <c r="C169" s="150" t="s">
        <v>327</v>
      </c>
      <c r="D169" s="151"/>
      <c r="E169" s="151"/>
      <c r="F169" s="151"/>
      <c r="G169" s="151"/>
      <c r="H169" s="151"/>
      <c r="I169" s="151"/>
      <c r="J169" s="151"/>
      <c r="K169" s="152"/>
    </row>
    <row r="170" spans="1:76" ht="14.4" x14ac:dyDescent="0.3">
      <c r="A170" s="53"/>
      <c r="C170" s="54" t="s">
        <v>328</v>
      </c>
      <c r="D170" s="54" t="s">
        <v>4</v>
      </c>
      <c r="F170" s="55">
        <v>0.77580000000000005</v>
      </c>
      <c r="K170" s="56"/>
    </row>
    <row r="171" spans="1:76" ht="14.4" x14ac:dyDescent="0.3">
      <c r="A171" s="1" t="s">
        <v>329</v>
      </c>
      <c r="B171" s="2" t="s">
        <v>330</v>
      </c>
      <c r="C171" s="75" t="s">
        <v>331</v>
      </c>
      <c r="D171" s="70"/>
      <c r="E171" s="2" t="s">
        <v>115</v>
      </c>
      <c r="F171" s="50">
        <v>1.7897700000000001</v>
      </c>
      <c r="G171" s="50">
        <v>0</v>
      </c>
      <c r="H171" s="50">
        <f>ROUND(F171*AO171,2)</f>
        <v>0</v>
      </c>
      <c r="I171" s="50">
        <f>ROUND(F171*AP171,2)</f>
        <v>0</v>
      </c>
      <c r="J171" s="50">
        <f>ROUND(F171*G171,2)</f>
        <v>0</v>
      </c>
      <c r="K171" s="51" t="s">
        <v>116</v>
      </c>
      <c r="Z171" s="50">
        <f>ROUND(IF(AQ171="5",BJ171,0),2)</f>
        <v>0</v>
      </c>
      <c r="AB171" s="50">
        <f>ROUND(IF(AQ171="1",BH171,0),2)</f>
        <v>0</v>
      </c>
      <c r="AC171" s="50">
        <f>ROUND(IF(AQ171="1",BI171,0),2)</f>
        <v>0</v>
      </c>
      <c r="AD171" s="50">
        <f>ROUND(IF(AQ171="7",BH171,0),2)</f>
        <v>0</v>
      </c>
      <c r="AE171" s="50">
        <f>ROUND(IF(AQ171="7",BI171,0),2)</f>
        <v>0</v>
      </c>
      <c r="AF171" s="50">
        <f>ROUND(IF(AQ171="2",BH171,0),2)</f>
        <v>0</v>
      </c>
      <c r="AG171" s="50">
        <f>ROUND(IF(AQ171="2",BI171,0),2)</f>
        <v>0</v>
      </c>
      <c r="AH171" s="50">
        <f>ROUND(IF(AQ171="0",BJ171,0),2)</f>
        <v>0</v>
      </c>
      <c r="AI171" s="32" t="s">
        <v>4</v>
      </c>
      <c r="AJ171" s="50">
        <f>IF(AN171=0,J171,0)</f>
        <v>0</v>
      </c>
      <c r="AK171" s="50">
        <f>IF(AN171=12,J171,0)</f>
        <v>0</v>
      </c>
      <c r="AL171" s="50">
        <f>IF(AN171=21,J171,0)</f>
        <v>0</v>
      </c>
      <c r="AN171" s="50">
        <v>21</v>
      </c>
      <c r="AO171" s="50">
        <f>G171*0.90883945</f>
        <v>0</v>
      </c>
      <c r="AP171" s="50">
        <f>G171*(1-0.90883945)</f>
        <v>0</v>
      </c>
      <c r="AQ171" s="52" t="s">
        <v>112</v>
      </c>
      <c r="AV171" s="50">
        <f>ROUND(AW171+AX171,2)</f>
        <v>0</v>
      </c>
      <c r="AW171" s="50">
        <f>ROUND(F171*AO171,2)</f>
        <v>0</v>
      </c>
      <c r="AX171" s="50">
        <f>ROUND(F171*AP171,2)</f>
        <v>0</v>
      </c>
      <c r="AY171" s="52" t="s">
        <v>289</v>
      </c>
      <c r="AZ171" s="52" t="s">
        <v>227</v>
      </c>
      <c r="BA171" s="32" t="s">
        <v>119</v>
      </c>
      <c r="BC171" s="50">
        <f>AW171+AX171</f>
        <v>0</v>
      </c>
      <c r="BD171" s="50">
        <f>G171/(100-BE171)*100</f>
        <v>0</v>
      </c>
      <c r="BE171" s="50">
        <v>0</v>
      </c>
      <c r="BF171" s="50">
        <f>171</f>
        <v>171</v>
      </c>
      <c r="BH171" s="50">
        <f>F171*AO171</f>
        <v>0</v>
      </c>
      <c r="BI171" s="50">
        <f>F171*AP171</f>
        <v>0</v>
      </c>
      <c r="BJ171" s="50">
        <f>F171*G171</f>
        <v>0</v>
      </c>
      <c r="BK171" s="50"/>
      <c r="BL171" s="50">
        <v>27</v>
      </c>
      <c r="BW171" s="50">
        <v>21</v>
      </c>
      <c r="BX171" s="3" t="s">
        <v>331</v>
      </c>
    </row>
    <row r="172" spans="1:76" ht="14.4" x14ac:dyDescent="0.3">
      <c r="A172" s="53"/>
      <c r="C172" s="54" t="s">
        <v>332</v>
      </c>
      <c r="D172" s="54" t="s">
        <v>4</v>
      </c>
      <c r="F172" s="55">
        <v>1.7897700000000001</v>
      </c>
      <c r="K172" s="56"/>
    </row>
    <row r="173" spans="1:76" ht="14.4" x14ac:dyDescent="0.3">
      <c r="A173" s="1" t="s">
        <v>333</v>
      </c>
      <c r="B173" s="2" t="s">
        <v>334</v>
      </c>
      <c r="C173" s="75" t="s">
        <v>335</v>
      </c>
      <c r="D173" s="70"/>
      <c r="E173" s="2" t="s">
        <v>216</v>
      </c>
      <c r="F173" s="50">
        <v>18.69876</v>
      </c>
      <c r="G173" s="50">
        <v>0</v>
      </c>
      <c r="H173" s="50">
        <f>ROUND(F173*AO173,2)</f>
        <v>0</v>
      </c>
      <c r="I173" s="50">
        <f>ROUND(F173*AP173,2)</f>
        <v>0</v>
      </c>
      <c r="J173" s="50">
        <f>ROUND(F173*G173,2)</f>
        <v>0</v>
      </c>
      <c r="K173" s="51" t="s">
        <v>116</v>
      </c>
      <c r="Z173" s="50">
        <f>ROUND(IF(AQ173="5",BJ173,0),2)</f>
        <v>0</v>
      </c>
      <c r="AB173" s="50">
        <f>ROUND(IF(AQ173="1",BH173,0),2)</f>
        <v>0</v>
      </c>
      <c r="AC173" s="50">
        <f>ROUND(IF(AQ173="1",BI173,0),2)</f>
        <v>0</v>
      </c>
      <c r="AD173" s="50">
        <f>ROUND(IF(AQ173="7",BH173,0),2)</f>
        <v>0</v>
      </c>
      <c r="AE173" s="50">
        <f>ROUND(IF(AQ173="7",BI173,0),2)</f>
        <v>0</v>
      </c>
      <c r="AF173" s="50">
        <f>ROUND(IF(AQ173="2",BH173,0),2)</f>
        <v>0</v>
      </c>
      <c r="AG173" s="50">
        <f>ROUND(IF(AQ173="2",BI173,0),2)</f>
        <v>0</v>
      </c>
      <c r="AH173" s="50">
        <f>ROUND(IF(AQ173="0",BJ173,0),2)</f>
        <v>0</v>
      </c>
      <c r="AI173" s="32" t="s">
        <v>4</v>
      </c>
      <c r="AJ173" s="50">
        <f>IF(AN173=0,J173,0)</f>
        <v>0</v>
      </c>
      <c r="AK173" s="50">
        <f>IF(AN173=12,J173,0)</f>
        <v>0</v>
      </c>
      <c r="AL173" s="50">
        <f>IF(AN173=21,J173,0)</f>
        <v>0</v>
      </c>
      <c r="AN173" s="50">
        <v>21</v>
      </c>
      <c r="AO173" s="50">
        <f>G173*0.530161571</f>
        <v>0</v>
      </c>
      <c r="AP173" s="50">
        <f>G173*(1-0.530161571)</f>
        <v>0</v>
      </c>
      <c r="AQ173" s="52" t="s">
        <v>112</v>
      </c>
      <c r="AV173" s="50">
        <f>ROUND(AW173+AX173,2)</f>
        <v>0</v>
      </c>
      <c r="AW173" s="50">
        <f>ROUND(F173*AO173,2)</f>
        <v>0</v>
      </c>
      <c r="AX173" s="50">
        <f>ROUND(F173*AP173,2)</f>
        <v>0</v>
      </c>
      <c r="AY173" s="52" t="s">
        <v>289</v>
      </c>
      <c r="AZ173" s="52" t="s">
        <v>227</v>
      </c>
      <c r="BA173" s="32" t="s">
        <v>119</v>
      </c>
      <c r="BC173" s="50">
        <f>AW173+AX173</f>
        <v>0</v>
      </c>
      <c r="BD173" s="50">
        <f>G173/(100-BE173)*100</f>
        <v>0</v>
      </c>
      <c r="BE173" s="50">
        <v>0</v>
      </c>
      <c r="BF173" s="50">
        <f>173</f>
        <v>173</v>
      </c>
      <c r="BH173" s="50">
        <f>F173*AO173</f>
        <v>0</v>
      </c>
      <c r="BI173" s="50">
        <f>F173*AP173</f>
        <v>0</v>
      </c>
      <c r="BJ173" s="50">
        <f>F173*G173</f>
        <v>0</v>
      </c>
      <c r="BK173" s="50"/>
      <c r="BL173" s="50">
        <v>27</v>
      </c>
      <c r="BW173" s="50">
        <v>21</v>
      </c>
      <c r="BX173" s="3" t="s">
        <v>335</v>
      </c>
    </row>
    <row r="174" spans="1:76" ht="14.4" x14ac:dyDescent="0.3">
      <c r="A174" s="53"/>
      <c r="C174" s="54" t="s">
        <v>336</v>
      </c>
      <c r="D174" s="54" t="s">
        <v>4</v>
      </c>
      <c r="F174" s="55">
        <v>10.17876</v>
      </c>
      <c r="K174" s="56"/>
    </row>
    <row r="175" spans="1:76" ht="14.4" x14ac:dyDescent="0.3">
      <c r="A175" s="53"/>
      <c r="C175" s="54" t="s">
        <v>337</v>
      </c>
      <c r="D175" s="54" t="s">
        <v>4</v>
      </c>
      <c r="F175" s="55">
        <v>8.52</v>
      </c>
      <c r="K175" s="56"/>
    </row>
    <row r="176" spans="1:76" ht="14.4" x14ac:dyDescent="0.3">
      <c r="A176" s="1" t="s">
        <v>221</v>
      </c>
      <c r="B176" s="2" t="s">
        <v>338</v>
      </c>
      <c r="C176" s="75" t="s">
        <v>339</v>
      </c>
      <c r="D176" s="70"/>
      <c r="E176" s="2" t="s">
        <v>216</v>
      </c>
      <c r="F176" s="50">
        <v>18.69876</v>
      </c>
      <c r="G176" s="50">
        <v>0</v>
      </c>
      <c r="H176" s="50">
        <f>ROUND(F176*AO176,2)</f>
        <v>0</v>
      </c>
      <c r="I176" s="50">
        <f>ROUND(F176*AP176,2)</f>
        <v>0</v>
      </c>
      <c r="J176" s="50">
        <f>ROUND(F176*G176,2)</f>
        <v>0</v>
      </c>
      <c r="K176" s="51" t="s">
        <v>116</v>
      </c>
      <c r="Z176" s="50">
        <f>ROUND(IF(AQ176="5",BJ176,0),2)</f>
        <v>0</v>
      </c>
      <c r="AB176" s="50">
        <f>ROUND(IF(AQ176="1",BH176,0),2)</f>
        <v>0</v>
      </c>
      <c r="AC176" s="50">
        <f>ROUND(IF(AQ176="1",BI176,0),2)</f>
        <v>0</v>
      </c>
      <c r="AD176" s="50">
        <f>ROUND(IF(AQ176="7",BH176,0),2)</f>
        <v>0</v>
      </c>
      <c r="AE176" s="50">
        <f>ROUND(IF(AQ176="7",BI176,0),2)</f>
        <v>0</v>
      </c>
      <c r="AF176" s="50">
        <f>ROUND(IF(AQ176="2",BH176,0),2)</f>
        <v>0</v>
      </c>
      <c r="AG176" s="50">
        <f>ROUND(IF(AQ176="2",BI176,0),2)</f>
        <v>0</v>
      </c>
      <c r="AH176" s="50">
        <f>ROUND(IF(AQ176="0",BJ176,0),2)</f>
        <v>0</v>
      </c>
      <c r="AI176" s="32" t="s">
        <v>4</v>
      </c>
      <c r="AJ176" s="50">
        <f>IF(AN176=0,J176,0)</f>
        <v>0</v>
      </c>
      <c r="AK176" s="50">
        <f>IF(AN176=12,J176,0)</f>
        <v>0</v>
      </c>
      <c r="AL176" s="50">
        <f>IF(AN176=21,J176,0)</f>
        <v>0</v>
      </c>
      <c r="AN176" s="50">
        <v>21</v>
      </c>
      <c r="AO176" s="50">
        <f>G176*0</f>
        <v>0</v>
      </c>
      <c r="AP176" s="50">
        <f>G176*(1-0)</f>
        <v>0</v>
      </c>
      <c r="AQ176" s="52" t="s">
        <v>112</v>
      </c>
      <c r="AV176" s="50">
        <f>ROUND(AW176+AX176,2)</f>
        <v>0</v>
      </c>
      <c r="AW176" s="50">
        <f>ROUND(F176*AO176,2)</f>
        <v>0</v>
      </c>
      <c r="AX176" s="50">
        <f>ROUND(F176*AP176,2)</f>
        <v>0</v>
      </c>
      <c r="AY176" s="52" t="s">
        <v>289</v>
      </c>
      <c r="AZ176" s="52" t="s">
        <v>227</v>
      </c>
      <c r="BA176" s="32" t="s">
        <v>119</v>
      </c>
      <c r="BC176" s="50">
        <f>AW176+AX176</f>
        <v>0</v>
      </c>
      <c r="BD176" s="50">
        <f>G176/(100-BE176)*100</f>
        <v>0</v>
      </c>
      <c r="BE176" s="50">
        <v>0</v>
      </c>
      <c r="BF176" s="50">
        <f>176</f>
        <v>176</v>
      </c>
      <c r="BH176" s="50">
        <f>F176*AO176</f>
        <v>0</v>
      </c>
      <c r="BI176" s="50">
        <f>F176*AP176</f>
        <v>0</v>
      </c>
      <c r="BJ176" s="50">
        <f>F176*G176</f>
        <v>0</v>
      </c>
      <c r="BK176" s="50"/>
      <c r="BL176" s="50">
        <v>27</v>
      </c>
      <c r="BW176" s="50">
        <v>21</v>
      </c>
      <c r="BX176" s="3" t="s">
        <v>339</v>
      </c>
    </row>
    <row r="177" spans="1:76" ht="14.4" x14ac:dyDescent="0.3">
      <c r="A177" s="53"/>
      <c r="C177" s="54" t="s">
        <v>336</v>
      </c>
      <c r="D177" s="54" t="s">
        <v>4</v>
      </c>
      <c r="F177" s="55">
        <v>10.17876</v>
      </c>
      <c r="K177" s="56"/>
    </row>
    <row r="178" spans="1:76" ht="14.4" x14ac:dyDescent="0.3">
      <c r="A178" s="53"/>
      <c r="C178" s="54" t="s">
        <v>337</v>
      </c>
      <c r="D178" s="54" t="s">
        <v>4</v>
      </c>
      <c r="F178" s="55">
        <v>8.52</v>
      </c>
      <c r="K178" s="56"/>
    </row>
    <row r="179" spans="1:76" ht="14.4" x14ac:dyDescent="0.3">
      <c r="A179" s="1" t="s">
        <v>340</v>
      </c>
      <c r="B179" s="2" t="s">
        <v>341</v>
      </c>
      <c r="C179" s="75" t="s">
        <v>342</v>
      </c>
      <c r="D179" s="70"/>
      <c r="E179" s="2" t="s">
        <v>278</v>
      </c>
      <c r="F179" s="50">
        <v>3</v>
      </c>
      <c r="G179" s="50">
        <v>0</v>
      </c>
      <c r="H179" s="50">
        <f>ROUND(F179*AO179,2)</f>
        <v>0</v>
      </c>
      <c r="I179" s="50">
        <f>ROUND(F179*AP179,2)</f>
        <v>0</v>
      </c>
      <c r="J179" s="50">
        <f>ROUND(F179*G179,2)</f>
        <v>0</v>
      </c>
      <c r="K179" s="51" t="s">
        <v>116</v>
      </c>
      <c r="Z179" s="50">
        <f>ROUND(IF(AQ179="5",BJ179,0),2)</f>
        <v>0</v>
      </c>
      <c r="AB179" s="50">
        <f>ROUND(IF(AQ179="1",BH179,0),2)</f>
        <v>0</v>
      </c>
      <c r="AC179" s="50">
        <f>ROUND(IF(AQ179="1",BI179,0),2)</f>
        <v>0</v>
      </c>
      <c r="AD179" s="50">
        <f>ROUND(IF(AQ179="7",BH179,0),2)</f>
        <v>0</v>
      </c>
      <c r="AE179" s="50">
        <f>ROUND(IF(AQ179="7",BI179,0),2)</f>
        <v>0</v>
      </c>
      <c r="AF179" s="50">
        <f>ROUND(IF(AQ179="2",BH179,0),2)</f>
        <v>0</v>
      </c>
      <c r="AG179" s="50">
        <f>ROUND(IF(AQ179="2",BI179,0),2)</f>
        <v>0</v>
      </c>
      <c r="AH179" s="50">
        <f>ROUND(IF(AQ179="0",BJ179,0),2)</f>
        <v>0</v>
      </c>
      <c r="AI179" s="32" t="s">
        <v>4</v>
      </c>
      <c r="AJ179" s="50">
        <f>IF(AN179=0,J179,0)</f>
        <v>0</v>
      </c>
      <c r="AK179" s="50">
        <f>IF(AN179=12,J179,0)</f>
        <v>0</v>
      </c>
      <c r="AL179" s="50">
        <f>IF(AN179=21,J179,0)</f>
        <v>0</v>
      </c>
      <c r="AN179" s="50">
        <v>21</v>
      </c>
      <c r="AO179" s="50">
        <f>G179*0.197491909</f>
        <v>0</v>
      </c>
      <c r="AP179" s="50">
        <f>G179*(1-0.197491909)</f>
        <v>0</v>
      </c>
      <c r="AQ179" s="52" t="s">
        <v>112</v>
      </c>
      <c r="AV179" s="50">
        <f>ROUND(AW179+AX179,2)</f>
        <v>0</v>
      </c>
      <c r="AW179" s="50">
        <f>ROUND(F179*AO179,2)</f>
        <v>0</v>
      </c>
      <c r="AX179" s="50">
        <f>ROUND(F179*AP179,2)</f>
        <v>0</v>
      </c>
      <c r="AY179" s="52" t="s">
        <v>289</v>
      </c>
      <c r="AZ179" s="52" t="s">
        <v>227</v>
      </c>
      <c r="BA179" s="32" t="s">
        <v>119</v>
      </c>
      <c r="BC179" s="50">
        <f>AW179+AX179</f>
        <v>0</v>
      </c>
      <c r="BD179" s="50">
        <f>G179/(100-BE179)*100</f>
        <v>0</v>
      </c>
      <c r="BE179" s="50">
        <v>0</v>
      </c>
      <c r="BF179" s="50">
        <f>179</f>
        <v>179</v>
      </c>
      <c r="BH179" s="50">
        <f>F179*AO179</f>
        <v>0</v>
      </c>
      <c r="BI179" s="50">
        <f>F179*AP179</f>
        <v>0</v>
      </c>
      <c r="BJ179" s="50">
        <f>F179*G179</f>
        <v>0</v>
      </c>
      <c r="BK179" s="50"/>
      <c r="BL179" s="50">
        <v>27</v>
      </c>
      <c r="BW179" s="50">
        <v>21</v>
      </c>
      <c r="BX179" s="3" t="s">
        <v>342</v>
      </c>
    </row>
    <row r="180" spans="1:76" ht="14.4" x14ac:dyDescent="0.3">
      <c r="A180" s="53"/>
      <c r="C180" s="54" t="s">
        <v>135</v>
      </c>
      <c r="D180" s="54" t="s">
        <v>4</v>
      </c>
      <c r="F180" s="55">
        <v>3</v>
      </c>
      <c r="K180" s="56"/>
    </row>
    <row r="181" spans="1:76" ht="14.4" x14ac:dyDescent="0.3">
      <c r="A181" s="1" t="s">
        <v>343</v>
      </c>
      <c r="B181" s="2" t="s">
        <v>344</v>
      </c>
      <c r="C181" s="75" t="s">
        <v>345</v>
      </c>
      <c r="D181" s="70"/>
      <c r="E181" s="2" t="s">
        <v>173</v>
      </c>
      <c r="F181" s="50">
        <v>1.6</v>
      </c>
      <c r="G181" s="50">
        <v>0</v>
      </c>
      <c r="H181" s="50">
        <f>ROUND(F181*AO181,2)</f>
        <v>0</v>
      </c>
      <c r="I181" s="50">
        <f>ROUND(F181*AP181,2)</f>
        <v>0</v>
      </c>
      <c r="J181" s="50">
        <f>ROUND(F181*G181,2)</f>
        <v>0</v>
      </c>
      <c r="K181" s="51" t="s">
        <v>116</v>
      </c>
      <c r="Z181" s="50">
        <f>ROUND(IF(AQ181="5",BJ181,0),2)</f>
        <v>0</v>
      </c>
      <c r="AB181" s="50">
        <f>ROUND(IF(AQ181="1",BH181,0),2)</f>
        <v>0</v>
      </c>
      <c r="AC181" s="50">
        <f>ROUND(IF(AQ181="1",BI181,0),2)</f>
        <v>0</v>
      </c>
      <c r="AD181" s="50">
        <f>ROUND(IF(AQ181="7",BH181,0),2)</f>
        <v>0</v>
      </c>
      <c r="AE181" s="50">
        <f>ROUND(IF(AQ181="7",BI181,0),2)</f>
        <v>0</v>
      </c>
      <c r="AF181" s="50">
        <f>ROUND(IF(AQ181="2",BH181,0),2)</f>
        <v>0</v>
      </c>
      <c r="AG181" s="50">
        <f>ROUND(IF(AQ181="2",BI181,0),2)</f>
        <v>0</v>
      </c>
      <c r="AH181" s="50">
        <f>ROUND(IF(AQ181="0",BJ181,0),2)</f>
        <v>0</v>
      </c>
      <c r="AI181" s="32" t="s">
        <v>4</v>
      </c>
      <c r="AJ181" s="50">
        <f>IF(AN181=0,J181,0)</f>
        <v>0</v>
      </c>
      <c r="AK181" s="50">
        <f>IF(AN181=12,J181,0)</f>
        <v>0</v>
      </c>
      <c r="AL181" s="50">
        <f>IF(AN181=21,J181,0)</f>
        <v>0</v>
      </c>
      <c r="AN181" s="50">
        <v>21</v>
      </c>
      <c r="AO181" s="50">
        <f>G181*0.727050375</f>
        <v>0</v>
      </c>
      <c r="AP181" s="50">
        <f>G181*(1-0.727050375)</f>
        <v>0</v>
      </c>
      <c r="AQ181" s="52" t="s">
        <v>112</v>
      </c>
      <c r="AV181" s="50">
        <f>ROUND(AW181+AX181,2)</f>
        <v>0</v>
      </c>
      <c r="AW181" s="50">
        <f>ROUND(F181*AO181,2)</f>
        <v>0</v>
      </c>
      <c r="AX181" s="50">
        <f>ROUND(F181*AP181,2)</f>
        <v>0</v>
      </c>
      <c r="AY181" s="52" t="s">
        <v>289</v>
      </c>
      <c r="AZ181" s="52" t="s">
        <v>227</v>
      </c>
      <c r="BA181" s="32" t="s">
        <v>119</v>
      </c>
      <c r="BC181" s="50">
        <f>AW181+AX181</f>
        <v>0</v>
      </c>
      <c r="BD181" s="50">
        <f>G181/(100-BE181)*100</f>
        <v>0</v>
      </c>
      <c r="BE181" s="50">
        <v>0</v>
      </c>
      <c r="BF181" s="50">
        <f>181</f>
        <v>181</v>
      </c>
      <c r="BH181" s="50">
        <f>F181*AO181</f>
        <v>0</v>
      </c>
      <c r="BI181" s="50">
        <f>F181*AP181</f>
        <v>0</v>
      </c>
      <c r="BJ181" s="50">
        <f>F181*G181</f>
        <v>0</v>
      </c>
      <c r="BK181" s="50"/>
      <c r="BL181" s="50">
        <v>27</v>
      </c>
      <c r="BW181" s="50">
        <v>21</v>
      </c>
      <c r="BX181" s="3" t="s">
        <v>345</v>
      </c>
    </row>
    <row r="182" spans="1:76" ht="14.4" x14ac:dyDescent="0.3">
      <c r="A182" s="53"/>
      <c r="C182" s="54" t="s">
        <v>346</v>
      </c>
      <c r="D182" s="54" t="s">
        <v>4</v>
      </c>
      <c r="F182" s="55">
        <v>1.6</v>
      </c>
      <c r="K182" s="56"/>
    </row>
    <row r="183" spans="1:76" ht="14.4" x14ac:dyDescent="0.3">
      <c r="A183" s="1" t="s">
        <v>347</v>
      </c>
      <c r="B183" s="2" t="s">
        <v>348</v>
      </c>
      <c r="C183" s="75" t="s">
        <v>349</v>
      </c>
      <c r="D183" s="70"/>
      <c r="E183" s="2" t="s">
        <v>115</v>
      </c>
      <c r="F183" s="50">
        <v>0.3</v>
      </c>
      <c r="G183" s="50">
        <v>0</v>
      </c>
      <c r="H183" s="50">
        <f>ROUND(F183*AO183,2)</f>
        <v>0</v>
      </c>
      <c r="I183" s="50">
        <f>ROUND(F183*AP183,2)</f>
        <v>0</v>
      </c>
      <c r="J183" s="50">
        <f>ROUND(F183*G183,2)</f>
        <v>0</v>
      </c>
      <c r="K183" s="51" t="s">
        <v>116</v>
      </c>
      <c r="Z183" s="50">
        <f>ROUND(IF(AQ183="5",BJ183,0),2)</f>
        <v>0</v>
      </c>
      <c r="AB183" s="50">
        <f>ROUND(IF(AQ183="1",BH183,0),2)</f>
        <v>0</v>
      </c>
      <c r="AC183" s="50">
        <f>ROUND(IF(AQ183="1",BI183,0),2)</f>
        <v>0</v>
      </c>
      <c r="AD183" s="50">
        <f>ROUND(IF(AQ183="7",BH183,0),2)</f>
        <v>0</v>
      </c>
      <c r="AE183" s="50">
        <f>ROUND(IF(AQ183="7",BI183,0),2)</f>
        <v>0</v>
      </c>
      <c r="AF183" s="50">
        <f>ROUND(IF(AQ183="2",BH183,0),2)</f>
        <v>0</v>
      </c>
      <c r="AG183" s="50">
        <f>ROUND(IF(AQ183="2",BI183,0),2)</f>
        <v>0</v>
      </c>
      <c r="AH183" s="50">
        <f>ROUND(IF(AQ183="0",BJ183,0),2)</f>
        <v>0</v>
      </c>
      <c r="AI183" s="32" t="s">
        <v>4</v>
      </c>
      <c r="AJ183" s="50">
        <f>IF(AN183=0,J183,0)</f>
        <v>0</v>
      </c>
      <c r="AK183" s="50">
        <f>IF(AN183=12,J183,0)</f>
        <v>0</v>
      </c>
      <c r="AL183" s="50">
        <f>IF(AN183=21,J183,0)</f>
        <v>0</v>
      </c>
      <c r="AN183" s="50">
        <v>21</v>
      </c>
      <c r="AO183" s="50">
        <f>G183*0.666174056</f>
        <v>0</v>
      </c>
      <c r="AP183" s="50">
        <f>G183*(1-0.666174056)</f>
        <v>0</v>
      </c>
      <c r="AQ183" s="52" t="s">
        <v>112</v>
      </c>
      <c r="AV183" s="50">
        <f>ROUND(AW183+AX183,2)</f>
        <v>0</v>
      </c>
      <c r="AW183" s="50">
        <f>ROUND(F183*AO183,2)</f>
        <v>0</v>
      </c>
      <c r="AX183" s="50">
        <f>ROUND(F183*AP183,2)</f>
        <v>0</v>
      </c>
      <c r="AY183" s="52" t="s">
        <v>289</v>
      </c>
      <c r="AZ183" s="52" t="s">
        <v>227</v>
      </c>
      <c r="BA183" s="32" t="s">
        <v>119</v>
      </c>
      <c r="BC183" s="50">
        <f>AW183+AX183</f>
        <v>0</v>
      </c>
      <c r="BD183" s="50">
        <f>G183/(100-BE183)*100</f>
        <v>0</v>
      </c>
      <c r="BE183" s="50">
        <v>0</v>
      </c>
      <c r="BF183" s="50">
        <f>183</f>
        <v>183</v>
      </c>
      <c r="BH183" s="50">
        <f>F183*AO183</f>
        <v>0</v>
      </c>
      <c r="BI183" s="50">
        <f>F183*AP183</f>
        <v>0</v>
      </c>
      <c r="BJ183" s="50">
        <f>F183*G183</f>
        <v>0</v>
      </c>
      <c r="BK183" s="50"/>
      <c r="BL183" s="50">
        <v>27</v>
      </c>
      <c r="BW183" s="50">
        <v>21</v>
      </c>
      <c r="BX183" s="3" t="s">
        <v>349</v>
      </c>
    </row>
    <row r="184" spans="1:76" ht="14.4" x14ac:dyDescent="0.3">
      <c r="A184" s="53"/>
      <c r="C184" s="54" t="s">
        <v>350</v>
      </c>
      <c r="D184" s="54" t="s">
        <v>351</v>
      </c>
      <c r="F184" s="55">
        <v>0.3</v>
      </c>
      <c r="K184" s="56"/>
    </row>
    <row r="185" spans="1:76" ht="14.4" x14ac:dyDescent="0.3">
      <c r="A185" s="46" t="s">
        <v>4</v>
      </c>
      <c r="B185" s="47" t="s">
        <v>283</v>
      </c>
      <c r="C185" s="148" t="s">
        <v>352</v>
      </c>
      <c r="D185" s="149"/>
      <c r="E185" s="48" t="s">
        <v>74</v>
      </c>
      <c r="F185" s="48" t="s">
        <v>74</v>
      </c>
      <c r="G185" s="48" t="s">
        <v>74</v>
      </c>
      <c r="H185" s="26">
        <f>SUM(H186:H237)</f>
        <v>0</v>
      </c>
      <c r="I185" s="26">
        <f>SUM(I186:I237)</f>
        <v>0</v>
      </c>
      <c r="J185" s="26">
        <f>SUM(J186:J237)</f>
        <v>0</v>
      </c>
      <c r="K185" s="49" t="s">
        <v>4</v>
      </c>
      <c r="AI185" s="32" t="s">
        <v>4</v>
      </c>
      <c r="AS185" s="26">
        <f>SUM(AJ186:AJ237)</f>
        <v>0</v>
      </c>
      <c r="AT185" s="26">
        <f>SUM(AK186:AK237)</f>
        <v>0</v>
      </c>
      <c r="AU185" s="26">
        <f>SUM(AL186:AL237)</f>
        <v>0</v>
      </c>
    </row>
    <row r="186" spans="1:76" ht="14.4" x14ac:dyDescent="0.3">
      <c r="A186" s="1" t="s">
        <v>353</v>
      </c>
      <c r="B186" s="2" t="s">
        <v>354</v>
      </c>
      <c r="C186" s="75" t="s">
        <v>355</v>
      </c>
      <c r="D186" s="70"/>
      <c r="E186" s="2" t="s">
        <v>233</v>
      </c>
      <c r="F186" s="50">
        <v>70.87</v>
      </c>
      <c r="G186" s="50">
        <v>0</v>
      </c>
      <c r="H186" s="50">
        <f>ROUND(F186*AO186,2)</f>
        <v>0</v>
      </c>
      <c r="I186" s="50">
        <f>ROUND(F186*AP186,2)</f>
        <v>0</v>
      </c>
      <c r="J186" s="50">
        <f>ROUND(F186*G186,2)</f>
        <v>0</v>
      </c>
      <c r="K186" s="51" t="s">
        <v>116</v>
      </c>
      <c r="Z186" s="50">
        <f>ROUND(IF(AQ186="5",BJ186,0),2)</f>
        <v>0</v>
      </c>
      <c r="AB186" s="50">
        <f>ROUND(IF(AQ186="1",BH186,0),2)</f>
        <v>0</v>
      </c>
      <c r="AC186" s="50">
        <f>ROUND(IF(AQ186="1",BI186,0),2)</f>
        <v>0</v>
      </c>
      <c r="AD186" s="50">
        <f>ROUND(IF(AQ186="7",BH186,0),2)</f>
        <v>0</v>
      </c>
      <c r="AE186" s="50">
        <f>ROUND(IF(AQ186="7",BI186,0),2)</f>
        <v>0</v>
      </c>
      <c r="AF186" s="50">
        <f>ROUND(IF(AQ186="2",BH186,0),2)</f>
        <v>0</v>
      </c>
      <c r="AG186" s="50">
        <f>ROUND(IF(AQ186="2",BI186,0),2)</f>
        <v>0</v>
      </c>
      <c r="AH186" s="50">
        <f>ROUND(IF(AQ186="0",BJ186,0),2)</f>
        <v>0</v>
      </c>
      <c r="AI186" s="32" t="s">
        <v>4</v>
      </c>
      <c r="AJ186" s="50">
        <f>IF(AN186=0,J186,0)</f>
        <v>0</v>
      </c>
      <c r="AK186" s="50">
        <f>IF(AN186=12,J186,0)</f>
        <v>0</v>
      </c>
      <c r="AL186" s="50">
        <f>IF(AN186=21,J186,0)</f>
        <v>0</v>
      </c>
      <c r="AN186" s="50">
        <v>21</v>
      </c>
      <c r="AO186" s="50">
        <f>G186*0.824989564</f>
        <v>0</v>
      </c>
      <c r="AP186" s="50">
        <f>G186*(1-0.824989564)</f>
        <v>0</v>
      </c>
      <c r="AQ186" s="52" t="s">
        <v>112</v>
      </c>
      <c r="AV186" s="50">
        <f>ROUND(AW186+AX186,2)</f>
        <v>0</v>
      </c>
      <c r="AW186" s="50">
        <f>ROUND(F186*AO186,2)</f>
        <v>0</v>
      </c>
      <c r="AX186" s="50">
        <f>ROUND(F186*AP186,2)</f>
        <v>0</v>
      </c>
      <c r="AY186" s="52" t="s">
        <v>356</v>
      </c>
      <c r="AZ186" s="52" t="s">
        <v>357</v>
      </c>
      <c r="BA186" s="32" t="s">
        <v>119</v>
      </c>
      <c r="BC186" s="50">
        <f>AW186+AX186</f>
        <v>0</v>
      </c>
      <c r="BD186" s="50">
        <f>G186/(100-BE186)*100</f>
        <v>0</v>
      </c>
      <c r="BE186" s="50">
        <v>0</v>
      </c>
      <c r="BF186" s="50">
        <f>186</f>
        <v>186</v>
      </c>
      <c r="BH186" s="50">
        <f>F186*AO186</f>
        <v>0</v>
      </c>
      <c r="BI186" s="50">
        <f>F186*AP186</f>
        <v>0</v>
      </c>
      <c r="BJ186" s="50">
        <f>F186*G186</f>
        <v>0</v>
      </c>
      <c r="BK186" s="50"/>
      <c r="BL186" s="50">
        <v>31</v>
      </c>
      <c r="BW186" s="50">
        <v>21</v>
      </c>
      <c r="BX186" s="3" t="s">
        <v>355</v>
      </c>
    </row>
    <row r="187" spans="1:76" ht="14.4" x14ac:dyDescent="0.3">
      <c r="A187" s="53"/>
      <c r="C187" s="54" t="s">
        <v>358</v>
      </c>
      <c r="D187" s="54" t="s">
        <v>4</v>
      </c>
      <c r="F187" s="55">
        <v>51.58</v>
      </c>
      <c r="K187" s="56"/>
    </row>
    <row r="188" spans="1:76" ht="14.4" x14ac:dyDescent="0.3">
      <c r="A188" s="53"/>
      <c r="C188" s="54" t="s">
        <v>359</v>
      </c>
      <c r="D188" s="54" t="s">
        <v>4</v>
      </c>
      <c r="F188" s="55">
        <v>19.29</v>
      </c>
      <c r="K188" s="56"/>
    </row>
    <row r="189" spans="1:76" ht="14.4" x14ac:dyDescent="0.3">
      <c r="A189" s="1" t="s">
        <v>360</v>
      </c>
      <c r="B189" s="2" t="s">
        <v>361</v>
      </c>
      <c r="C189" s="75" t="s">
        <v>362</v>
      </c>
      <c r="D189" s="70"/>
      <c r="E189" s="2" t="s">
        <v>216</v>
      </c>
      <c r="F189" s="50">
        <v>191.83646999999999</v>
      </c>
      <c r="G189" s="50">
        <v>0</v>
      </c>
      <c r="H189" s="50">
        <f>ROUND(F189*AO189,2)</f>
        <v>0</v>
      </c>
      <c r="I189" s="50">
        <f>ROUND(F189*AP189,2)</f>
        <v>0</v>
      </c>
      <c r="J189" s="50">
        <f>ROUND(F189*G189,2)</f>
        <v>0</v>
      </c>
      <c r="K189" s="51" t="s">
        <v>116</v>
      </c>
      <c r="Z189" s="50">
        <f>ROUND(IF(AQ189="5",BJ189,0),2)</f>
        <v>0</v>
      </c>
      <c r="AB189" s="50">
        <f>ROUND(IF(AQ189="1",BH189,0),2)</f>
        <v>0</v>
      </c>
      <c r="AC189" s="50">
        <f>ROUND(IF(AQ189="1",BI189,0),2)</f>
        <v>0</v>
      </c>
      <c r="AD189" s="50">
        <f>ROUND(IF(AQ189="7",BH189,0),2)</f>
        <v>0</v>
      </c>
      <c r="AE189" s="50">
        <f>ROUND(IF(AQ189="7",BI189,0),2)</f>
        <v>0</v>
      </c>
      <c r="AF189" s="50">
        <f>ROUND(IF(AQ189="2",BH189,0),2)</f>
        <v>0</v>
      </c>
      <c r="AG189" s="50">
        <f>ROUND(IF(AQ189="2",BI189,0),2)</f>
        <v>0</v>
      </c>
      <c r="AH189" s="50">
        <f>ROUND(IF(AQ189="0",BJ189,0),2)</f>
        <v>0</v>
      </c>
      <c r="AI189" s="32" t="s">
        <v>4</v>
      </c>
      <c r="AJ189" s="50">
        <f>IF(AN189=0,J189,0)</f>
        <v>0</v>
      </c>
      <c r="AK189" s="50">
        <f>IF(AN189=12,J189,0)</f>
        <v>0</v>
      </c>
      <c r="AL189" s="50">
        <f>IF(AN189=21,J189,0)</f>
        <v>0</v>
      </c>
      <c r="AN189" s="50">
        <v>21</v>
      </c>
      <c r="AO189" s="50">
        <f>G189*0.797808047</f>
        <v>0</v>
      </c>
      <c r="AP189" s="50">
        <f>G189*(1-0.797808047)</f>
        <v>0</v>
      </c>
      <c r="AQ189" s="52" t="s">
        <v>112</v>
      </c>
      <c r="AV189" s="50">
        <f>ROUND(AW189+AX189,2)</f>
        <v>0</v>
      </c>
      <c r="AW189" s="50">
        <f>ROUND(F189*AO189,2)</f>
        <v>0</v>
      </c>
      <c r="AX189" s="50">
        <f>ROUND(F189*AP189,2)</f>
        <v>0</v>
      </c>
      <c r="AY189" s="52" t="s">
        <v>356</v>
      </c>
      <c r="AZ189" s="52" t="s">
        <v>357</v>
      </c>
      <c r="BA189" s="32" t="s">
        <v>119</v>
      </c>
      <c r="BC189" s="50">
        <f>AW189+AX189</f>
        <v>0</v>
      </c>
      <c r="BD189" s="50">
        <f>G189/(100-BE189)*100</f>
        <v>0</v>
      </c>
      <c r="BE189" s="50">
        <v>0</v>
      </c>
      <c r="BF189" s="50">
        <f>189</f>
        <v>189</v>
      </c>
      <c r="BH189" s="50">
        <f>F189*AO189</f>
        <v>0</v>
      </c>
      <c r="BI189" s="50">
        <f>F189*AP189</f>
        <v>0</v>
      </c>
      <c r="BJ189" s="50">
        <f>F189*G189</f>
        <v>0</v>
      </c>
      <c r="BK189" s="50"/>
      <c r="BL189" s="50">
        <v>31</v>
      </c>
      <c r="BW189" s="50">
        <v>21</v>
      </c>
      <c r="BX189" s="3" t="s">
        <v>362</v>
      </c>
    </row>
    <row r="190" spans="1:76" ht="14.4" x14ac:dyDescent="0.3">
      <c r="A190" s="53"/>
      <c r="C190" s="54" t="s">
        <v>363</v>
      </c>
      <c r="D190" s="54" t="s">
        <v>364</v>
      </c>
      <c r="F190" s="55">
        <v>196.47</v>
      </c>
      <c r="K190" s="56"/>
    </row>
    <row r="191" spans="1:76" ht="14.4" x14ac:dyDescent="0.3">
      <c r="A191" s="53"/>
      <c r="C191" s="54" t="s">
        <v>365</v>
      </c>
      <c r="D191" s="54" t="s">
        <v>4</v>
      </c>
      <c r="F191" s="55">
        <v>-8.3874999999999993</v>
      </c>
      <c r="K191" s="56"/>
    </row>
    <row r="192" spans="1:76" ht="14.4" x14ac:dyDescent="0.3">
      <c r="A192" s="53"/>
      <c r="C192" s="54" t="s">
        <v>366</v>
      </c>
      <c r="D192" s="54" t="s">
        <v>4</v>
      </c>
      <c r="F192" s="55">
        <v>-7.15</v>
      </c>
      <c r="K192" s="56"/>
    </row>
    <row r="193" spans="1:76" ht="14.4" x14ac:dyDescent="0.3">
      <c r="A193" s="53"/>
      <c r="C193" s="54" t="s">
        <v>367</v>
      </c>
      <c r="D193" s="54" t="s">
        <v>4</v>
      </c>
      <c r="F193" s="55">
        <v>-6.6624999999999996</v>
      </c>
      <c r="K193" s="56"/>
    </row>
    <row r="194" spans="1:76" ht="14.4" x14ac:dyDescent="0.3">
      <c r="A194" s="53"/>
      <c r="C194" s="54" t="s">
        <v>368</v>
      </c>
      <c r="D194" s="54" t="s">
        <v>4</v>
      </c>
      <c r="F194" s="55">
        <v>-4.2625000000000002</v>
      </c>
      <c r="K194" s="56"/>
    </row>
    <row r="195" spans="1:76" ht="14.4" x14ac:dyDescent="0.3">
      <c r="A195" s="53"/>
      <c r="C195" s="54" t="s">
        <v>369</v>
      </c>
      <c r="D195" s="54" t="s">
        <v>4</v>
      </c>
      <c r="F195" s="55">
        <v>-11.6875</v>
      </c>
      <c r="K195" s="56"/>
    </row>
    <row r="196" spans="1:76" ht="14.4" x14ac:dyDescent="0.3">
      <c r="A196" s="53"/>
      <c r="C196" s="54" t="s">
        <v>370</v>
      </c>
      <c r="D196" s="54" t="s">
        <v>4</v>
      </c>
      <c r="F196" s="55">
        <v>-11.275</v>
      </c>
      <c r="K196" s="56"/>
    </row>
    <row r="197" spans="1:76" ht="14.4" x14ac:dyDescent="0.3">
      <c r="A197" s="53"/>
      <c r="C197" s="54" t="s">
        <v>371</v>
      </c>
      <c r="D197" s="54" t="s">
        <v>4</v>
      </c>
      <c r="F197" s="55">
        <v>-5.8049999999999997</v>
      </c>
      <c r="K197" s="56"/>
    </row>
    <row r="198" spans="1:76" ht="14.4" x14ac:dyDescent="0.3">
      <c r="A198" s="53"/>
      <c r="C198" s="54" t="s">
        <v>372</v>
      </c>
      <c r="D198" s="54" t="s">
        <v>373</v>
      </c>
      <c r="F198" s="55">
        <v>26.7</v>
      </c>
      <c r="K198" s="56"/>
    </row>
    <row r="199" spans="1:76" ht="14.4" x14ac:dyDescent="0.3">
      <c r="A199" s="53"/>
      <c r="C199" s="54" t="s">
        <v>374</v>
      </c>
      <c r="D199" s="54" t="s">
        <v>4</v>
      </c>
      <c r="F199" s="55">
        <v>-3.1175000000000002</v>
      </c>
      <c r="K199" s="56"/>
    </row>
    <row r="200" spans="1:76" ht="14.4" x14ac:dyDescent="0.3">
      <c r="A200" s="53"/>
      <c r="C200" s="54" t="s">
        <v>375</v>
      </c>
      <c r="D200" s="54" t="s">
        <v>373</v>
      </c>
      <c r="F200" s="55">
        <v>25.8</v>
      </c>
      <c r="K200" s="56"/>
    </row>
    <row r="201" spans="1:76" ht="14.4" x14ac:dyDescent="0.3">
      <c r="A201" s="53"/>
      <c r="C201" s="54" t="s">
        <v>376</v>
      </c>
      <c r="D201" s="54" t="s">
        <v>373</v>
      </c>
      <c r="F201" s="55">
        <v>8.0749999999999993</v>
      </c>
      <c r="K201" s="56"/>
    </row>
    <row r="202" spans="1:76" ht="14.4" x14ac:dyDescent="0.3">
      <c r="A202" s="53"/>
      <c r="C202" s="54" t="s">
        <v>377</v>
      </c>
      <c r="D202" s="54" t="s">
        <v>364</v>
      </c>
      <c r="F202" s="55">
        <v>-6.8610300000000004</v>
      </c>
      <c r="K202" s="56"/>
    </row>
    <row r="203" spans="1:76" ht="14.4" x14ac:dyDescent="0.3">
      <c r="A203" s="1" t="s">
        <v>378</v>
      </c>
      <c r="B203" s="2" t="s">
        <v>379</v>
      </c>
      <c r="C203" s="75" t="s">
        <v>380</v>
      </c>
      <c r="D203" s="70"/>
      <c r="E203" s="2" t="s">
        <v>278</v>
      </c>
      <c r="F203" s="50">
        <v>12</v>
      </c>
      <c r="G203" s="50">
        <v>0</v>
      </c>
      <c r="H203" s="50">
        <f>ROUND(F203*AO203,2)</f>
        <v>0</v>
      </c>
      <c r="I203" s="50">
        <f>ROUND(F203*AP203,2)</f>
        <v>0</v>
      </c>
      <c r="J203" s="50">
        <f>ROUND(F203*G203,2)</f>
        <v>0</v>
      </c>
      <c r="K203" s="51" t="s">
        <v>116</v>
      </c>
      <c r="Z203" s="50">
        <f>ROUND(IF(AQ203="5",BJ203,0),2)</f>
        <v>0</v>
      </c>
      <c r="AB203" s="50">
        <f>ROUND(IF(AQ203="1",BH203,0),2)</f>
        <v>0</v>
      </c>
      <c r="AC203" s="50">
        <f>ROUND(IF(AQ203="1",BI203,0),2)</f>
        <v>0</v>
      </c>
      <c r="AD203" s="50">
        <f>ROUND(IF(AQ203="7",BH203,0),2)</f>
        <v>0</v>
      </c>
      <c r="AE203" s="50">
        <f>ROUND(IF(AQ203="7",BI203,0),2)</f>
        <v>0</v>
      </c>
      <c r="AF203" s="50">
        <f>ROUND(IF(AQ203="2",BH203,0),2)</f>
        <v>0</v>
      </c>
      <c r="AG203" s="50">
        <f>ROUND(IF(AQ203="2",BI203,0),2)</f>
        <v>0</v>
      </c>
      <c r="AH203" s="50">
        <f>ROUND(IF(AQ203="0",BJ203,0),2)</f>
        <v>0</v>
      </c>
      <c r="AI203" s="32" t="s">
        <v>4</v>
      </c>
      <c r="AJ203" s="50">
        <f>IF(AN203=0,J203,0)</f>
        <v>0</v>
      </c>
      <c r="AK203" s="50">
        <f>IF(AN203=12,J203,0)</f>
        <v>0</v>
      </c>
      <c r="AL203" s="50">
        <f>IF(AN203=21,J203,0)</f>
        <v>0</v>
      </c>
      <c r="AN203" s="50">
        <v>21</v>
      </c>
      <c r="AO203" s="50">
        <f>G203*0.793659022</f>
        <v>0</v>
      </c>
      <c r="AP203" s="50">
        <f>G203*(1-0.793659022)</f>
        <v>0</v>
      </c>
      <c r="AQ203" s="52" t="s">
        <v>112</v>
      </c>
      <c r="AV203" s="50">
        <f>ROUND(AW203+AX203,2)</f>
        <v>0</v>
      </c>
      <c r="AW203" s="50">
        <f>ROUND(F203*AO203,2)</f>
        <v>0</v>
      </c>
      <c r="AX203" s="50">
        <f>ROUND(F203*AP203,2)</f>
        <v>0</v>
      </c>
      <c r="AY203" s="52" t="s">
        <v>356</v>
      </c>
      <c r="AZ203" s="52" t="s">
        <v>357</v>
      </c>
      <c r="BA203" s="32" t="s">
        <v>119</v>
      </c>
      <c r="BC203" s="50">
        <f>AW203+AX203</f>
        <v>0</v>
      </c>
      <c r="BD203" s="50">
        <f>G203/(100-BE203)*100</f>
        <v>0</v>
      </c>
      <c r="BE203" s="50">
        <v>0</v>
      </c>
      <c r="BF203" s="50">
        <f>203</f>
        <v>203</v>
      </c>
      <c r="BH203" s="50">
        <f>F203*AO203</f>
        <v>0</v>
      </c>
      <c r="BI203" s="50">
        <f>F203*AP203</f>
        <v>0</v>
      </c>
      <c r="BJ203" s="50">
        <f>F203*G203</f>
        <v>0</v>
      </c>
      <c r="BK203" s="50"/>
      <c r="BL203" s="50">
        <v>31</v>
      </c>
      <c r="BW203" s="50">
        <v>21</v>
      </c>
      <c r="BX203" s="3" t="s">
        <v>380</v>
      </c>
    </row>
    <row r="204" spans="1:76" ht="14.4" x14ac:dyDescent="0.3">
      <c r="A204" s="53"/>
      <c r="C204" s="54" t="s">
        <v>381</v>
      </c>
      <c r="D204" s="54" t="s">
        <v>364</v>
      </c>
      <c r="F204" s="55">
        <v>12</v>
      </c>
      <c r="K204" s="56"/>
    </row>
    <row r="205" spans="1:76" ht="14.4" x14ac:dyDescent="0.3">
      <c r="A205" s="1" t="s">
        <v>382</v>
      </c>
      <c r="B205" s="2" t="s">
        <v>383</v>
      </c>
      <c r="C205" s="75" t="s">
        <v>384</v>
      </c>
      <c r="D205" s="70"/>
      <c r="E205" s="2" t="s">
        <v>278</v>
      </c>
      <c r="F205" s="50">
        <v>2</v>
      </c>
      <c r="G205" s="50">
        <v>0</v>
      </c>
      <c r="H205" s="50">
        <f>ROUND(F205*AO205,2)</f>
        <v>0</v>
      </c>
      <c r="I205" s="50">
        <f>ROUND(F205*AP205,2)</f>
        <v>0</v>
      </c>
      <c r="J205" s="50">
        <f>ROUND(F205*G205,2)</f>
        <v>0</v>
      </c>
      <c r="K205" s="51" t="s">
        <v>116</v>
      </c>
      <c r="Z205" s="50">
        <f>ROUND(IF(AQ205="5",BJ205,0),2)</f>
        <v>0</v>
      </c>
      <c r="AB205" s="50">
        <f>ROUND(IF(AQ205="1",BH205,0),2)</f>
        <v>0</v>
      </c>
      <c r="AC205" s="50">
        <f>ROUND(IF(AQ205="1",BI205,0),2)</f>
        <v>0</v>
      </c>
      <c r="AD205" s="50">
        <f>ROUND(IF(AQ205="7",BH205,0),2)</f>
        <v>0</v>
      </c>
      <c r="AE205" s="50">
        <f>ROUND(IF(AQ205="7",BI205,0),2)</f>
        <v>0</v>
      </c>
      <c r="AF205" s="50">
        <f>ROUND(IF(AQ205="2",BH205,0),2)</f>
        <v>0</v>
      </c>
      <c r="AG205" s="50">
        <f>ROUND(IF(AQ205="2",BI205,0),2)</f>
        <v>0</v>
      </c>
      <c r="AH205" s="50">
        <f>ROUND(IF(AQ205="0",BJ205,0),2)</f>
        <v>0</v>
      </c>
      <c r="AI205" s="32" t="s">
        <v>4</v>
      </c>
      <c r="AJ205" s="50">
        <f>IF(AN205=0,J205,0)</f>
        <v>0</v>
      </c>
      <c r="AK205" s="50">
        <f>IF(AN205=12,J205,0)</f>
        <v>0</v>
      </c>
      <c r="AL205" s="50">
        <f>IF(AN205=21,J205,0)</f>
        <v>0</v>
      </c>
      <c r="AN205" s="50">
        <v>21</v>
      </c>
      <c r="AO205" s="50">
        <f>G205*0.677519824</f>
        <v>0</v>
      </c>
      <c r="AP205" s="50">
        <f>G205*(1-0.677519824)</f>
        <v>0</v>
      </c>
      <c r="AQ205" s="52" t="s">
        <v>112</v>
      </c>
      <c r="AV205" s="50">
        <f>ROUND(AW205+AX205,2)</f>
        <v>0</v>
      </c>
      <c r="AW205" s="50">
        <f>ROUND(F205*AO205,2)</f>
        <v>0</v>
      </c>
      <c r="AX205" s="50">
        <f>ROUND(F205*AP205,2)</f>
        <v>0</v>
      </c>
      <c r="AY205" s="52" t="s">
        <v>356</v>
      </c>
      <c r="AZ205" s="52" t="s">
        <v>357</v>
      </c>
      <c r="BA205" s="32" t="s">
        <v>119</v>
      </c>
      <c r="BC205" s="50">
        <f>AW205+AX205</f>
        <v>0</v>
      </c>
      <c r="BD205" s="50">
        <f>G205/(100-BE205)*100</f>
        <v>0</v>
      </c>
      <c r="BE205" s="50">
        <v>0</v>
      </c>
      <c r="BF205" s="50">
        <f>205</f>
        <v>205</v>
      </c>
      <c r="BH205" s="50">
        <f>F205*AO205</f>
        <v>0</v>
      </c>
      <c r="BI205" s="50">
        <f>F205*AP205</f>
        <v>0</v>
      </c>
      <c r="BJ205" s="50">
        <f>F205*G205</f>
        <v>0</v>
      </c>
      <c r="BK205" s="50"/>
      <c r="BL205" s="50">
        <v>31</v>
      </c>
      <c r="BW205" s="50">
        <v>21</v>
      </c>
      <c r="BX205" s="3" t="s">
        <v>384</v>
      </c>
    </row>
    <row r="206" spans="1:76" ht="14.4" x14ac:dyDescent="0.3">
      <c r="A206" s="53"/>
      <c r="C206" s="54" t="s">
        <v>132</v>
      </c>
      <c r="D206" s="54" t="s">
        <v>364</v>
      </c>
      <c r="F206" s="55">
        <v>2</v>
      </c>
      <c r="K206" s="56"/>
    </row>
    <row r="207" spans="1:76" ht="14.4" x14ac:dyDescent="0.3">
      <c r="A207" s="1" t="s">
        <v>385</v>
      </c>
      <c r="B207" s="2" t="s">
        <v>386</v>
      </c>
      <c r="C207" s="75" t="s">
        <v>387</v>
      </c>
      <c r="D207" s="70"/>
      <c r="E207" s="2" t="s">
        <v>278</v>
      </c>
      <c r="F207" s="50">
        <v>4</v>
      </c>
      <c r="G207" s="50">
        <v>0</v>
      </c>
      <c r="H207" s="50">
        <f>ROUND(F207*AO207,2)</f>
        <v>0</v>
      </c>
      <c r="I207" s="50">
        <f>ROUND(F207*AP207,2)</f>
        <v>0</v>
      </c>
      <c r="J207" s="50">
        <f>ROUND(F207*G207,2)</f>
        <v>0</v>
      </c>
      <c r="K207" s="51" t="s">
        <v>116</v>
      </c>
      <c r="Z207" s="50">
        <f>ROUND(IF(AQ207="5",BJ207,0),2)</f>
        <v>0</v>
      </c>
      <c r="AB207" s="50">
        <f>ROUND(IF(AQ207="1",BH207,0),2)</f>
        <v>0</v>
      </c>
      <c r="AC207" s="50">
        <f>ROUND(IF(AQ207="1",BI207,0),2)</f>
        <v>0</v>
      </c>
      <c r="AD207" s="50">
        <f>ROUND(IF(AQ207="7",BH207,0),2)</f>
        <v>0</v>
      </c>
      <c r="AE207" s="50">
        <f>ROUND(IF(AQ207="7",BI207,0),2)</f>
        <v>0</v>
      </c>
      <c r="AF207" s="50">
        <f>ROUND(IF(AQ207="2",BH207,0),2)</f>
        <v>0</v>
      </c>
      <c r="AG207" s="50">
        <f>ROUND(IF(AQ207="2",BI207,0),2)</f>
        <v>0</v>
      </c>
      <c r="AH207" s="50">
        <f>ROUND(IF(AQ207="0",BJ207,0),2)</f>
        <v>0</v>
      </c>
      <c r="AI207" s="32" t="s">
        <v>4</v>
      </c>
      <c r="AJ207" s="50">
        <f>IF(AN207=0,J207,0)</f>
        <v>0</v>
      </c>
      <c r="AK207" s="50">
        <f>IF(AN207=12,J207,0)</f>
        <v>0</v>
      </c>
      <c r="AL207" s="50">
        <f>IF(AN207=21,J207,0)</f>
        <v>0</v>
      </c>
      <c r="AN207" s="50">
        <v>21</v>
      </c>
      <c r="AO207" s="50">
        <f>G207*0.634439589</f>
        <v>0</v>
      </c>
      <c r="AP207" s="50">
        <f>G207*(1-0.634439589)</f>
        <v>0</v>
      </c>
      <c r="AQ207" s="52" t="s">
        <v>112</v>
      </c>
      <c r="AV207" s="50">
        <f>ROUND(AW207+AX207,2)</f>
        <v>0</v>
      </c>
      <c r="AW207" s="50">
        <f>ROUND(F207*AO207,2)</f>
        <v>0</v>
      </c>
      <c r="AX207" s="50">
        <f>ROUND(F207*AP207,2)</f>
        <v>0</v>
      </c>
      <c r="AY207" s="52" t="s">
        <v>356</v>
      </c>
      <c r="AZ207" s="52" t="s">
        <v>357</v>
      </c>
      <c r="BA207" s="32" t="s">
        <v>119</v>
      </c>
      <c r="BC207" s="50">
        <f>AW207+AX207</f>
        <v>0</v>
      </c>
      <c r="BD207" s="50">
        <f>G207/(100-BE207)*100</f>
        <v>0</v>
      </c>
      <c r="BE207" s="50">
        <v>0</v>
      </c>
      <c r="BF207" s="50">
        <f>207</f>
        <v>207</v>
      </c>
      <c r="BH207" s="50">
        <f>F207*AO207</f>
        <v>0</v>
      </c>
      <c r="BI207" s="50">
        <f>F207*AP207</f>
        <v>0</v>
      </c>
      <c r="BJ207" s="50">
        <f>F207*G207</f>
        <v>0</v>
      </c>
      <c r="BK207" s="50"/>
      <c r="BL207" s="50">
        <v>31</v>
      </c>
      <c r="BW207" s="50">
        <v>21</v>
      </c>
      <c r="BX207" s="3" t="s">
        <v>387</v>
      </c>
    </row>
    <row r="208" spans="1:76" ht="14.4" x14ac:dyDescent="0.3">
      <c r="A208" s="53"/>
      <c r="C208" s="54" t="s">
        <v>140</v>
      </c>
      <c r="D208" s="54" t="s">
        <v>364</v>
      </c>
      <c r="F208" s="55">
        <v>4</v>
      </c>
      <c r="K208" s="56"/>
    </row>
    <row r="209" spans="1:76" ht="14.4" x14ac:dyDescent="0.3">
      <c r="A209" s="1" t="s">
        <v>388</v>
      </c>
      <c r="B209" s="2" t="s">
        <v>389</v>
      </c>
      <c r="C209" s="75" t="s">
        <v>390</v>
      </c>
      <c r="D209" s="70"/>
      <c r="E209" s="2" t="s">
        <v>173</v>
      </c>
      <c r="F209" s="50">
        <v>0.98453000000000002</v>
      </c>
      <c r="G209" s="50">
        <v>0</v>
      </c>
      <c r="H209" s="50">
        <f>ROUND(F209*AO209,2)</f>
        <v>0</v>
      </c>
      <c r="I209" s="50">
        <f>ROUND(F209*AP209,2)</f>
        <v>0</v>
      </c>
      <c r="J209" s="50">
        <f>ROUND(F209*G209,2)</f>
        <v>0</v>
      </c>
      <c r="K209" s="51" t="s">
        <v>116</v>
      </c>
      <c r="Z209" s="50">
        <f>ROUND(IF(AQ209="5",BJ209,0),2)</f>
        <v>0</v>
      </c>
      <c r="AB209" s="50">
        <f>ROUND(IF(AQ209="1",BH209,0),2)</f>
        <v>0</v>
      </c>
      <c r="AC209" s="50">
        <f>ROUND(IF(AQ209="1",BI209,0),2)</f>
        <v>0</v>
      </c>
      <c r="AD209" s="50">
        <f>ROUND(IF(AQ209="7",BH209,0),2)</f>
        <v>0</v>
      </c>
      <c r="AE209" s="50">
        <f>ROUND(IF(AQ209="7",BI209,0),2)</f>
        <v>0</v>
      </c>
      <c r="AF209" s="50">
        <f>ROUND(IF(AQ209="2",BH209,0),2)</f>
        <v>0</v>
      </c>
      <c r="AG209" s="50">
        <f>ROUND(IF(AQ209="2",BI209,0),2)</f>
        <v>0</v>
      </c>
      <c r="AH209" s="50">
        <f>ROUND(IF(AQ209="0",BJ209,0),2)</f>
        <v>0</v>
      </c>
      <c r="AI209" s="32" t="s">
        <v>4</v>
      </c>
      <c r="AJ209" s="50">
        <f>IF(AN209=0,J209,0)</f>
        <v>0</v>
      </c>
      <c r="AK209" s="50">
        <f>IF(AN209=12,J209,0)</f>
        <v>0</v>
      </c>
      <c r="AL209" s="50">
        <f>IF(AN209=21,J209,0)</f>
        <v>0</v>
      </c>
      <c r="AN209" s="50">
        <v>21</v>
      </c>
      <c r="AO209" s="50">
        <f>G209*0.001626546</f>
        <v>0</v>
      </c>
      <c r="AP209" s="50">
        <f>G209*(1-0.001626546)</f>
        <v>0</v>
      </c>
      <c r="AQ209" s="52" t="s">
        <v>112</v>
      </c>
      <c r="AV209" s="50">
        <f>ROUND(AW209+AX209,2)</f>
        <v>0</v>
      </c>
      <c r="AW209" s="50">
        <f>ROUND(F209*AO209,2)</f>
        <v>0</v>
      </c>
      <c r="AX209" s="50">
        <f>ROUND(F209*AP209,2)</f>
        <v>0</v>
      </c>
      <c r="AY209" s="52" t="s">
        <v>356</v>
      </c>
      <c r="AZ209" s="52" t="s">
        <v>357</v>
      </c>
      <c r="BA209" s="32" t="s">
        <v>119</v>
      </c>
      <c r="BC209" s="50">
        <f>AW209+AX209</f>
        <v>0</v>
      </c>
      <c r="BD209" s="50">
        <f>G209/(100-BE209)*100</f>
        <v>0</v>
      </c>
      <c r="BE209" s="50">
        <v>0</v>
      </c>
      <c r="BF209" s="50">
        <f>209</f>
        <v>209</v>
      </c>
      <c r="BH209" s="50">
        <f>F209*AO209</f>
        <v>0</v>
      </c>
      <c r="BI209" s="50">
        <f>F209*AP209</f>
        <v>0</v>
      </c>
      <c r="BJ209" s="50">
        <f>F209*G209</f>
        <v>0</v>
      </c>
      <c r="BK209" s="50"/>
      <c r="BL209" s="50">
        <v>31</v>
      </c>
      <c r="BW209" s="50">
        <v>21</v>
      </c>
      <c r="BX209" s="3" t="s">
        <v>390</v>
      </c>
    </row>
    <row r="210" spans="1:76" ht="14.4" x14ac:dyDescent="0.3">
      <c r="A210" s="53"/>
      <c r="C210" s="54" t="s">
        <v>391</v>
      </c>
      <c r="D210" s="54" t="s">
        <v>4</v>
      </c>
      <c r="F210" s="55">
        <v>8.3220000000000002E-2</v>
      </c>
      <c r="K210" s="56"/>
    </row>
    <row r="211" spans="1:76" ht="14.4" x14ac:dyDescent="0.3">
      <c r="A211" s="53"/>
      <c r="C211" s="54" t="s">
        <v>392</v>
      </c>
      <c r="D211" s="54" t="s">
        <v>4</v>
      </c>
      <c r="F211" s="55">
        <v>0.31974000000000002</v>
      </c>
      <c r="K211" s="56"/>
    </row>
    <row r="212" spans="1:76" ht="14.4" x14ac:dyDescent="0.3">
      <c r="A212" s="53"/>
      <c r="C212" s="54" t="s">
        <v>393</v>
      </c>
      <c r="D212" s="54" t="s">
        <v>4</v>
      </c>
      <c r="F212" s="55">
        <v>0.58157000000000003</v>
      </c>
      <c r="K212" s="56"/>
    </row>
    <row r="213" spans="1:76" ht="14.4" x14ac:dyDescent="0.3">
      <c r="A213" s="1" t="s">
        <v>195</v>
      </c>
      <c r="B213" s="2" t="s">
        <v>394</v>
      </c>
      <c r="C213" s="75" t="s">
        <v>395</v>
      </c>
      <c r="D213" s="70"/>
      <c r="E213" s="2" t="s">
        <v>173</v>
      </c>
      <c r="F213" s="50">
        <v>8.9880000000000002E-2</v>
      </c>
      <c r="G213" s="50">
        <v>0</v>
      </c>
      <c r="H213" s="50">
        <f>ROUND(F213*AO213,2)</f>
        <v>0</v>
      </c>
      <c r="I213" s="50">
        <f>ROUND(F213*AP213,2)</f>
        <v>0</v>
      </c>
      <c r="J213" s="50">
        <f>ROUND(F213*G213,2)</f>
        <v>0</v>
      </c>
      <c r="K213" s="51" t="s">
        <v>116</v>
      </c>
      <c r="Z213" s="50">
        <f>ROUND(IF(AQ213="5",BJ213,0),2)</f>
        <v>0</v>
      </c>
      <c r="AB213" s="50">
        <f>ROUND(IF(AQ213="1",BH213,0),2)</f>
        <v>0</v>
      </c>
      <c r="AC213" s="50">
        <f>ROUND(IF(AQ213="1",BI213,0),2)</f>
        <v>0</v>
      </c>
      <c r="AD213" s="50">
        <f>ROUND(IF(AQ213="7",BH213,0),2)</f>
        <v>0</v>
      </c>
      <c r="AE213" s="50">
        <f>ROUND(IF(AQ213="7",BI213,0),2)</f>
        <v>0</v>
      </c>
      <c r="AF213" s="50">
        <f>ROUND(IF(AQ213="2",BH213,0),2)</f>
        <v>0</v>
      </c>
      <c r="AG213" s="50">
        <f>ROUND(IF(AQ213="2",BI213,0),2)</f>
        <v>0</v>
      </c>
      <c r="AH213" s="50">
        <f>ROUND(IF(AQ213="0",BJ213,0),2)</f>
        <v>0</v>
      </c>
      <c r="AI213" s="32" t="s">
        <v>4</v>
      </c>
      <c r="AJ213" s="50">
        <f>IF(AN213=0,J213,0)</f>
        <v>0</v>
      </c>
      <c r="AK213" s="50">
        <f>IF(AN213=12,J213,0)</f>
        <v>0</v>
      </c>
      <c r="AL213" s="50">
        <f>IF(AN213=21,J213,0)</f>
        <v>0</v>
      </c>
      <c r="AN213" s="50">
        <v>21</v>
      </c>
      <c r="AO213" s="50">
        <f>G213*1</f>
        <v>0</v>
      </c>
      <c r="AP213" s="50">
        <f>G213*(1-1)</f>
        <v>0</v>
      </c>
      <c r="AQ213" s="52" t="s">
        <v>112</v>
      </c>
      <c r="AV213" s="50">
        <f>ROUND(AW213+AX213,2)</f>
        <v>0</v>
      </c>
      <c r="AW213" s="50">
        <f>ROUND(F213*AO213,2)</f>
        <v>0</v>
      </c>
      <c r="AX213" s="50">
        <f>ROUND(F213*AP213,2)</f>
        <v>0</v>
      </c>
      <c r="AY213" s="52" t="s">
        <v>356</v>
      </c>
      <c r="AZ213" s="52" t="s">
        <v>357</v>
      </c>
      <c r="BA213" s="32" t="s">
        <v>119</v>
      </c>
      <c r="BC213" s="50">
        <f>AW213+AX213</f>
        <v>0</v>
      </c>
      <c r="BD213" s="50">
        <f>G213/(100-BE213)*100</f>
        <v>0</v>
      </c>
      <c r="BE213" s="50">
        <v>0</v>
      </c>
      <c r="BF213" s="50">
        <f>213</f>
        <v>213</v>
      </c>
      <c r="BH213" s="50">
        <f>F213*AO213</f>
        <v>0</v>
      </c>
      <c r="BI213" s="50">
        <f>F213*AP213</f>
        <v>0</v>
      </c>
      <c r="BJ213" s="50">
        <f>F213*G213</f>
        <v>0</v>
      </c>
      <c r="BK213" s="50"/>
      <c r="BL213" s="50">
        <v>31</v>
      </c>
      <c r="BW213" s="50">
        <v>21</v>
      </c>
      <c r="BX213" s="3" t="s">
        <v>395</v>
      </c>
    </row>
    <row r="214" spans="1:76" ht="14.4" x14ac:dyDescent="0.3">
      <c r="A214" s="53"/>
      <c r="C214" s="54" t="s">
        <v>391</v>
      </c>
      <c r="D214" s="54" t="s">
        <v>4</v>
      </c>
      <c r="F214" s="55">
        <v>8.3220000000000002E-2</v>
      </c>
      <c r="K214" s="56"/>
    </row>
    <row r="215" spans="1:76" ht="14.4" x14ac:dyDescent="0.3">
      <c r="A215" s="53"/>
      <c r="C215" s="54" t="s">
        <v>396</v>
      </c>
      <c r="D215" s="54" t="s">
        <v>4</v>
      </c>
      <c r="F215" s="55">
        <v>6.6600000000000001E-3</v>
      </c>
      <c r="K215" s="56"/>
    </row>
    <row r="216" spans="1:76" ht="14.4" x14ac:dyDescent="0.3">
      <c r="A216" s="1" t="s">
        <v>397</v>
      </c>
      <c r="B216" s="2" t="s">
        <v>398</v>
      </c>
      <c r="C216" s="75" t="s">
        <v>399</v>
      </c>
      <c r="D216" s="70"/>
      <c r="E216" s="2" t="s">
        <v>173</v>
      </c>
      <c r="F216" s="50">
        <v>0.34532000000000002</v>
      </c>
      <c r="G216" s="50">
        <v>0</v>
      </c>
      <c r="H216" s="50">
        <f>ROUND(F216*AO216,2)</f>
        <v>0</v>
      </c>
      <c r="I216" s="50">
        <f>ROUND(F216*AP216,2)</f>
        <v>0</v>
      </c>
      <c r="J216" s="50">
        <f>ROUND(F216*G216,2)</f>
        <v>0</v>
      </c>
      <c r="K216" s="51" t="s">
        <v>116</v>
      </c>
      <c r="Z216" s="50">
        <f>ROUND(IF(AQ216="5",BJ216,0),2)</f>
        <v>0</v>
      </c>
      <c r="AB216" s="50">
        <f>ROUND(IF(AQ216="1",BH216,0),2)</f>
        <v>0</v>
      </c>
      <c r="AC216" s="50">
        <f>ROUND(IF(AQ216="1",BI216,0),2)</f>
        <v>0</v>
      </c>
      <c r="AD216" s="50">
        <f>ROUND(IF(AQ216="7",BH216,0),2)</f>
        <v>0</v>
      </c>
      <c r="AE216" s="50">
        <f>ROUND(IF(AQ216="7",BI216,0),2)</f>
        <v>0</v>
      </c>
      <c r="AF216" s="50">
        <f>ROUND(IF(AQ216="2",BH216,0),2)</f>
        <v>0</v>
      </c>
      <c r="AG216" s="50">
        <f>ROUND(IF(AQ216="2",BI216,0),2)</f>
        <v>0</v>
      </c>
      <c r="AH216" s="50">
        <f>ROUND(IF(AQ216="0",BJ216,0),2)</f>
        <v>0</v>
      </c>
      <c r="AI216" s="32" t="s">
        <v>4</v>
      </c>
      <c r="AJ216" s="50">
        <f>IF(AN216=0,J216,0)</f>
        <v>0</v>
      </c>
      <c r="AK216" s="50">
        <f>IF(AN216=12,J216,0)</f>
        <v>0</v>
      </c>
      <c r="AL216" s="50">
        <f>IF(AN216=21,J216,0)</f>
        <v>0</v>
      </c>
      <c r="AN216" s="50">
        <v>21</v>
      </c>
      <c r="AO216" s="50">
        <f>G216*1</f>
        <v>0</v>
      </c>
      <c r="AP216" s="50">
        <f>G216*(1-1)</f>
        <v>0</v>
      </c>
      <c r="AQ216" s="52" t="s">
        <v>112</v>
      </c>
      <c r="AV216" s="50">
        <f>ROUND(AW216+AX216,2)</f>
        <v>0</v>
      </c>
      <c r="AW216" s="50">
        <f>ROUND(F216*AO216,2)</f>
        <v>0</v>
      </c>
      <c r="AX216" s="50">
        <f>ROUND(F216*AP216,2)</f>
        <v>0</v>
      </c>
      <c r="AY216" s="52" t="s">
        <v>356</v>
      </c>
      <c r="AZ216" s="52" t="s">
        <v>357</v>
      </c>
      <c r="BA216" s="32" t="s">
        <v>119</v>
      </c>
      <c r="BC216" s="50">
        <f>AW216+AX216</f>
        <v>0</v>
      </c>
      <c r="BD216" s="50">
        <f>G216/(100-BE216)*100</f>
        <v>0</v>
      </c>
      <c r="BE216" s="50">
        <v>0</v>
      </c>
      <c r="BF216" s="50">
        <f>216</f>
        <v>216</v>
      </c>
      <c r="BH216" s="50">
        <f>F216*AO216</f>
        <v>0</v>
      </c>
      <c r="BI216" s="50">
        <f>F216*AP216</f>
        <v>0</v>
      </c>
      <c r="BJ216" s="50">
        <f>F216*G216</f>
        <v>0</v>
      </c>
      <c r="BK216" s="50"/>
      <c r="BL216" s="50">
        <v>31</v>
      </c>
      <c r="BW216" s="50">
        <v>21</v>
      </c>
      <c r="BX216" s="3" t="s">
        <v>399</v>
      </c>
    </row>
    <row r="217" spans="1:76" ht="14.4" x14ac:dyDescent="0.3">
      <c r="A217" s="53"/>
      <c r="C217" s="54" t="s">
        <v>392</v>
      </c>
      <c r="D217" s="54" t="s">
        <v>4</v>
      </c>
      <c r="F217" s="55">
        <v>0.31974000000000002</v>
      </c>
      <c r="K217" s="56"/>
    </row>
    <row r="218" spans="1:76" ht="14.4" x14ac:dyDescent="0.3">
      <c r="A218" s="53"/>
      <c r="C218" s="54" t="s">
        <v>400</v>
      </c>
      <c r="D218" s="54" t="s">
        <v>4</v>
      </c>
      <c r="F218" s="55">
        <v>2.5579999999999999E-2</v>
      </c>
      <c r="K218" s="56"/>
    </row>
    <row r="219" spans="1:76" ht="14.4" x14ac:dyDescent="0.3">
      <c r="A219" s="1" t="s">
        <v>401</v>
      </c>
      <c r="B219" s="2" t="s">
        <v>402</v>
      </c>
      <c r="C219" s="75" t="s">
        <v>403</v>
      </c>
      <c r="D219" s="70"/>
      <c r="E219" s="2" t="s">
        <v>173</v>
      </c>
      <c r="F219" s="50">
        <v>0.62809999999999999</v>
      </c>
      <c r="G219" s="50">
        <v>0</v>
      </c>
      <c r="H219" s="50">
        <f>ROUND(F219*AO219,2)</f>
        <v>0</v>
      </c>
      <c r="I219" s="50">
        <f>ROUND(F219*AP219,2)</f>
        <v>0</v>
      </c>
      <c r="J219" s="50">
        <f>ROUND(F219*G219,2)</f>
        <v>0</v>
      </c>
      <c r="K219" s="51" t="s">
        <v>116</v>
      </c>
      <c r="Z219" s="50">
        <f>ROUND(IF(AQ219="5",BJ219,0),2)</f>
        <v>0</v>
      </c>
      <c r="AB219" s="50">
        <f>ROUND(IF(AQ219="1",BH219,0),2)</f>
        <v>0</v>
      </c>
      <c r="AC219" s="50">
        <f>ROUND(IF(AQ219="1",BI219,0),2)</f>
        <v>0</v>
      </c>
      <c r="AD219" s="50">
        <f>ROUND(IF(AQ219="7",BH219,0),2)</f>
        <v>0</v>
      </c>
      <c r="AE219" s="50">
        <f>ROUND(IF(AQ219="7",BI219,0),2)</f>
        <v>0</v>
      </c>
      <c r="AF219" s="50">
        <f>ROUND(IF(AQ219="2",BH219,0),2)</f>
        <v>0</v>
      </c>
      <c r="AG219" s="50">
        <f>ROUND(IF(AQ219="2",BI219,0),2)</f>
        <v>0</v>
      </c>
      <c r="AH219" s="50">
        <f>ROUND(IF(AQ219="0",BJ219,0),2)</f>
        <v>0</v>
      </c>
      <c r="AI219" s="32" t="s">
        <v>4</v>
      </c>
      <c r="AJ219" s="50">
        <f>IF(AN219=0,J219,0)</f>
        <v>0</v>
      </c>
      <c r="AK219" s="50">
        <f>IF(AN219=12,J219,0)</f>
        <v>0</v>
      </c>
      <c r="AL219" s="50">
        <f>IF(AN219=21,J219,0)</f>
        <v>0</v>
      </c>
      <c r="AN219" s="50">
        <v>21</v>
      </c>
      <c r="AO219" s="50">
        <f>G219*1</f>
        <v>0</v>
      </c>
      <c r="AP219" s="50">
        <f>G219*(1-1)</f>
        <v>0</v>
      </c>
      <c r="AQ219" s="52" t="s">
        <v>112</v>
      </c>
      <c r="AV219" s="50">
        <f>ROUND(AW219+AX219,2)</f>
        <v>0</v>
      </c>
      <c r="AW219" s="50">
        <f>ROUND(F219*AO219,2)</f>
        <v>0</v>
      </c>
      <c r="AX219" s="50">
        <f>ROUND(F219*AP219,2)</f>
        <v>0</v>
      </c>
      <c r="AY219" s="52" t="s">
        <v>356</v>
      </c>
      <c r="AZ219" s="52" t="s">
        <v>357</v>
      </c>
      <c r="BA219" s="32" t="s">
        <v>119</v>
      </c>
      <c r="BC219" s="50">
        <f>AW219+AX219</f>
        <v>0</v>
      </c>
      <c r="BD219" s="50">
        <f>G219/(100-BE219)*100</f>
        <v>0</v>
      </c>
      <c r="BE219" s="50">
        <v>0</v>
      </c>
      <c r="BF219" s="50">
        <f>219</f>
        <v>219</v>
      </c>
      <c r="BH219" s="50">
        <f>F219*AO219</f>
        <v>0</v>
      </c>
      <c r="BI219" s="50">
        <f>F219*AP219</f>
        <v>0</v>
      </c>
      <c r="BJ219" s="50">
        <f>F219*G219</f>
        <v>0</v>
      </c>
      <c r="BK219" s="50"/>
      <c r="BL219" s="50">
        <v>31</v>
      </c>
      <c r="BW219" s="50">
        <v>21</v>
      </c>
      <c r="BX219" s="3" t="s">
        <v>403</v>
      </c>
    </row>
    <row r="220" spans="1:76" ht="14.4" x14ac:dyDescent="0.3">
      <c r="A220" s="53"/>
      <c r="C220" s="54" t="s">
        <v>393</v>
      </c>
      <c r="D220" s="54" t="s">
        <v>4</v>
      </c>
      <c r="F220" s="55">
        <v>0.58157000000000003</v>
      </c>
      <c r="K220" s="56"/>
    </row>
    <row r="221" spans="1:76" ht="14.4" x14ac:dyDescent="0.3">
      <c r="A221" s="53"/>
      <c r="C221" s="54" t="s">
        <v>404</v>
      </c>
      <c r="D221" s="54" t="s">
        <v>4</v>
      </c>
      <c r="F221" s="55">
        <v>4.6530000000000002E-2</v>
      </c>
      <c r="K221" s="56"/>
    </row>
    <row r="222" spans="1:76" ht="14.4" x14ac:dyDescent="0.3">
      <c r="A222" s="1" t="s">
        <v>405</v>
      </c>
      <c r="B222" s="2" t="s">
        <v>406</v>
      </c>
      <c r="C222" s="75" t="s">
        <v>407</v>
      </c>
      <c r="D222" s="70"/>
      <c r="E222" s="2" t="s">
        <v>173</v>
      </c>
      <c r="F222" s="50">
        <v>0.50680000000000003</v>
      </c>
      <c r="G222" s="50">
        <v>0</v>
      </c>
      <c r="H222" s="50">
        <f>ROUND(F222*AO222,2)</f>
        <v>0</v>
      </c>
      <c r="I222" s="50">
        <f>ROUND(F222*AP222,2)</f>
        <v>0</v>
      </c>
      <c r="J222" s="50">
        <f>ROUND(F222*G222,2)</f>
        <v>0</v>
      </c>
      <c r="K222" s="51" t="s">
        <v>116</v>
      </c>
      <c r="Z222" s="50">
        <f>ROUND(IF(AQ222="5",BJ222,0),2)</f>
        <v>0</v>
      </c>
      <c r="AB222" s="50">
        <f>ROUND(IF(AQ222="1",BH222,0),2)</f>
        <v>0</v>
      </c>
      <c r="AC222" s="50">
        <f>ROUND(IF(AQ222="1",BI222,0),2)</f>
        <v>0</v>
      </c>
      <c r="AD222" s="50">
        <f>ROUND(IF(AQ222="7",BH222,0),2)</f>
        <v>0</v>
      </c>
      <c r="AE222" s="50">
        <f>ROUND(IF(AQ222="7",BI222,0),2)</f>
        <v>0</v>
      </c>
      <c r="AF222" s="50">
        <f>ROUND(IF(AQ222="2",BH222,0),2)</f>
        <v>0</v>
      </c>
      <c r="AG222" s="50">
        <f>ROUND(IF(AQ222="2",BI222,0),2)</f>
        <v>0</v>
      </c>
      <c r="AH222" s="50">
        <f>ROUND(IF(AQ222="0",BJ222,0),2)</f>
        <v>0</v>
      </c>
      <c r="AI222" s="32" t="s">
        <v>4</v>
      </c>
      <c r="AJ222" s="50">
        <f>IF(AN222=0,J222,0)</f>
        <v>0</v>
      </c>
      <c r="AK222" s="50">
        <f>IF(AN222=12,J222,0)</f>
        <v>0</v>
      </c>
      <c r="AL222" s="50">
        <f>IF(AN222=21,J222,0)</f>
        <v>0</v>
      </c>
      <c r="AN222" s="50">
        <v>21</v>
      </c>
      <c r="AO222" s="50">
        <f>G222*0.001240504</f>
        <v>0</v>
      </c>
      <c r="AP222" s="50">
        <f>G222*(1-0.001240504)</f>
        <v>0</v>
      </c>
      <c r="AQ222" s="52" t="s">
        <v>112</v>
      </c>
      <c r="AV222" s="50">
        <f>ROUND(AW222+AX222,2)</f>
        <v>0</v>
      </c>
      <c r="AW222" s="50">
        <f>ROUND(F222*AO222,2)</f>
        <v>0</v>
      </c>
      <c r="AX222" s="50">
        <f>ROUND(F222*AP222,2)</f>
        <v>0</v>
      </c>
      <c r="AY222" s="52" t="s">
        <v>356</v>
      </c>
      <c r="AZ222" s="52" t="s">
        <v>357</v>
      </c>
      <c r="BA222" s="32" t="s">
        <v>119</v>
      </c>
      <c r="BC222" s="50">
        <f>AW222+AX222</f>
        <v>0</v>
      </c>
      <c r="BD222" s="50">
        <f>G222/(100-BE222)*100</f>
        <v>0</v>
      </c>
      <c r="BE222" s="50">
        <v>0</v>
      </c>
      <c r="BF222" s="50">
        <f>222</f>
        <v>222</v>
      </c>
      <c r="BH222" s="50">
        <f>F222*AO222</f>
        <v>0</v>
      </c>
      <c r="BI222" s="50">
        <f>F222*AP222</f>
        <v>0</v>
      </c>
      <c r="BJ222" s="50">
        <f>F222*G222</f>
        <v>0</v>
      </c>
      <c r="BK222" s="50"/>
      <c r="BL222" s="50">
        <v>31</v>
      </c>
      <c r="BW222" s="50">
        <v>21</v>
      </c>
      <c r="BX222" s="3" t="s">
        <v>407</v>
      </c>
    </row>
    <row r="223" spans="1:76" ht="14.4" x14ac:dyDescent="0.3">
      <c r="A223" s="53"/>
      <c r="C223" s="54" t="s">
        <v>408</v>
      </c>
      <c r="D223" s="54" t="s">
        <v>4</v>
      </c>
      <c r="F223" s="55">
        <v>0.50680000000000003</v>
      </c>
      <c r="K223" s="56"/>
    </row>
    <row r="224" spans="1:76" ht="14.4" x14ac:dyDescent="0.3">
      <c r="A224" s="1" t="s">
        <v>409</v>
      </c>
      <c r="B224" s="2" t="s">
        <v>410</v>
      </c>
      <c r="C224" s="75" t="s">
        <v>411</v>
      </c>
      <c r="D224" s="70"/>
      <c r="E224" s="2" t="s">
        <v>173</v>
      </c>
      <c r="F224" s="50">
        <v>0.54734000000000005</v>
      </c>
      <c r="G224" s="50">
        <v>0</v>
      </c>
      <c r="H224" s="50">
        <f>ROUND(F224*AO224,2)</f>
        <v>0</v>
      </c>
      <c r="I224" s="50">
        <f>ROUND(F224*AP224,2)</f>
        <v>0</v>
      </c>
      <c r="J224" s="50">
        <f>ROUND(F224*G224,2)</f>
        <v>0</v>
      </c>
      <c r="K224" s="51" t="s">
        <v>116</v>
      </c>
      <c r="Z224" s="50">
        <f>ROUND(IF(AQ224="5",BJ224,0),2)</f>
        <v>0</v>
      </c>
      <c r="AB224" s="50">
        <f>ROUND(IF(AQ224="1",BH224,0),2)</f>
        <v>0</v>
      </c>
      <c r="AC224" s="50">
        <f>ROUND(IF(AQ224="1",BI224,0),2)</f>
        <v>0</v>
      </c>
      <c r="AD224" s="50">
        <f>ROUND(IF(AQ224="7",BH224,0),2)</f>
        <v>0</v>
      </c>
      <c r="AE224" s="50">
        <f>ROUND(IF(AQ224="7",BI224,0),2)</f>
        <v>0</v>
      </c>
      <c r="AF224" s="50">
        <f>ROUND(IF(AQ224="2",BH224,0),2)</f>
        <v>0</v>
      </c>
      <c r="AG224" s="50">
        <f>ROUND(IF(AQ224="2",BI224,0),2)</f>
        <v>0</v>
      </c>
      <c r="AH224" s="50">
        <f>ROUND(IF(AQ224="0",BJ224,0),2)</f>
        <v>0</v>
      </c>
      <c r="AI224" s="32" t="s">
        <v>4</v>
      </c>
      <c r="AJ224" s="50">
        <f>IF(AN224=0,J224,0)</f>
        <v>0</v>
      </c>
      <c r="AK224" s="50">
        <f>IF(AN224=12,J224,0)</f>
        <v>0</v>
      </c>
      <c r="AL224" s="50">
        <f>IF(AN224=21,J224,0)</f>
        <v>0</v>
      </c>
      <c r="AN224" s="50">
        <v>21</v>
      </c>
      <c r="AO224" s="50">
        <f>G224*1</f>
        <v>0</v>
      </c>
      <c r="AP224" s="50">
        <f>G224*(1-1)</f>
        <v>0</v>
      </c>
      <c r="AQ224" s="52" t="s">
        <v>112</v>
      </c>
      <c r="AV224" s="50">
        <f>ROUND(AW224+AX224,2)</f>
        <v>0</v>
      </c>
      <c r="AW224" s="50">
        <f>ROUND(F224*AO224,2)</f>
        <v>0</v>
      </c>
      <c r="AX224" s="50">
        <f>ROUND(F224*AP224,2)</f>
        <v>0</v>
      </c>
      <c r="AY224" s="52" t="s">
        <v>356</v>
      </c>
      <c r="AZ224" s="52" t="s">
        <v>357</v>
      </c>
      <c r="BA224" s="32" t="s">
        <v>119</v>
      </c>
      <c r="BC224" s="50">
        <f>AW224+AX224</f>
        <v>0</v>
      </c>
      <c r="BD224" s="50">
        <f>G224/(100-BE224)*100</f>
        <v>0</v>
      </c>
      <c r="BE224" s="50">
        <v>0</v>
      </c>
      <c r="BF224" s="50">
        <f>224</f>
        <v>224</v>
      </c>
      <c r="BH224" s="50">
        <f>F224*AO224</f>
        <v>0</v>
      </c>
      <c r="BI224" s="50">
        <f>F224*AP224</f>
        <v>0</v>
      </c>
      <c r="BJ224" s="50">
        <f>F224*G224</f>
        <v>0</v>
      </c>
      <c r="BK224" s="50"/>
      <c r="BL224" s="50">
        <v>31</v>
      </c>
      <c r="BW224" s="50">
        <v>21</v>
      </c>
      <c r="BX224" s="3" t="s">
        <v>411</v>
      </c>
    </row>
    <row r="225" spans="1:76" ht="14.4" x14ac:dyDescent="0.3">
      <c r="A225" s="53"/>
      <c r="C225" s="54" t="s">
        <v>408</v>
      </c>
      <c r="D225" s="54" t="s">
        <v>4</v>
      </c>
      <c r="F225" s="55">
        <v>0.50680000000000003</v>
      </c>
      <c r="K225" s="56"/>
    </row>
    <row r="226" spans="1:76" ht="14.4" x14ac:dyDescent="0.3">
      <c r="A226" s="53"/>
      <c r="C226" s="54" t="s">
        <v>412</v>
      </c>
      <c r="D226" s="54" t="s">
        <v>4</v>
      </c>
      <c r="F226" s="55">
        <v>4.054E-2</v>
      </c>
      <c r="K226" s="56"/>
    </row>
    <row r="227" spans="1:76" ht="14.4" x14ac:dyDescent="0.3">
      <c r="A227" s="1" t="s">
        <v>413</v>
      </c>
      <c r="B227" s="2" t="s">
        <v>414</v>
      </c>
      <c r="C227" s="75" t="s">
        <v>415</v>
      </c>
      <c r="D227" s="70"/>
      <c r="E227" s="2" t="s">
        <v>278</v>
      </c>
      <c r="F227" s="50">
        <v>8</v>
      </c>
      <c r="G227" s="50">
        <v>0</v>
      </c>
      <c r="H227" s="50">
        <f>ROUND(F227*AO227,2)</f>
        <v>0</v>
      </c>
      <c r="I227" s="50">
        <f>ROUND(F227*AP227,2)</f>
        <v>0</v>
      </c>
      <c r="J227" s="50">
        <f>ROUND(F227*G227,2)</f>
        <v>0</v>
      </c>
      <c r="K227" s="51" t="s">
        <v>116</v>
      </c>
      <c r="Z227" s="50">
        <f>ROUND(IF(AQ227="5",BJ227,0),2)</f>
        <v>0</v>
      </c>
      <c r="AB227" s="50">
        <f>ROUND(IF(AQ227="1",BH227,0),2)</f>
        <v>0</v>
      </c>
      <c r="AC227" s="50">
        <f>ROUND(IF(AQ227="1",BI227,0),2)</f>
        <v>0</v>
      </c>
      <c r="AD227" s="50">
        <f>ROUND(IF(AQ227="7",BH227,0),2)</f>
        <v>0</v>
      </c>
      <c r="AE227" s="50">
        <f>ROUND(IF(AQ227="7",BI227,0),2)</f>
        <v>0</v>
      </c>
      <c r="AF227" s="50">
        <f>ROUND(IF(AQ227="2",BH227,0),2)</f>
        <v>0</v>
      </c>
      <c r="AG227" s="50">
        <f>ROUND(IF(AQ227="2",BI227,0),2)</f>
        <v>0</v>
      </c>
      <c r="AH227" s="50">
        <f>ROUND(IF(AQ227="0",BJ227,0),2)</f>
        <v>0</v>
      </c>
      <c r="AI227" s="32" t="s">
        <v>4</v>
      </c>
      <c r="AJ227" s="50">
        <f>IF(AN227=0,J227,0)</f>
        <v>0</v>
      </c>
      <c r="AK227" s="50">
        <f>IF(AN227=12,J227,0)</f>
        <v>0</v>
      </c>
      <c r="AL227" s="50">
        <f>IF(AN227=21,J227,0)</f>
        <v>0</v>
      </c>
      <c r="AN227" s="50">
        <v>21</v>
      </c>
      <c r="AO227" s="50">
        <f>G227*0.815312163</f>
        <v>0</v>
      </c>
      <c r="AP227" s="50">
        <f>G227*(1-0.815312163)</f>
        <v>0</v>
      </c>
      <c r="AQ227" s="52" t="s">
        <v>112</v>
      </c>
      <c r="AV227" s="50">
        <f>ROUND(AW227+AX227,2)</f>
        <v>0</v>
      </c>
      <c r="AW227" s="50">
        <f>ROUND(F227*AO227,2)</f>
        <v>0</v>
      </c>
      <c r="AX227" s="50">
        <f>ROUND(F227*AP227,2)</f>
        <v>0</v>
      </c>
      <c r="AY227" s="52" t="s">
        <v>356</v>
      </c>
      <c r="AZ227" s="52" t="s">
        <v>357</v>
      </c>
      <c r="BA227" s="32" t="s">
        <v>119</v>
      </c>
      <c r="BC227" s="50">
        <f>AW227+AX227</f>
        <v>0</v>
      </c>
      <c r="BD227" s="50">
        <f>G227/(100-BE227)*100</f>
        <v>0</v>
      </c>
      <c r="BE227" s="50">
        <v>0</v>
      </c>
      <c r="BF227" s="50">
        <f>227</f>
        <v>227</v>
      </c>
      <c r="BH227" s="50">
        <f>F227*AO227</f>
        <v>0</v>
      </c>
      <c r="BI227" s="50">
        <f>F227*AP227</f>
        <v>0</v>
      </c>
      <c r="BJ227" s="50">
        <f>F227*G227</f>
        <v>0</v>
      </c>
      <c r="BK227" s="50"/>
      <c r="BL227" s="50">
        <v>31</v>
      </c>
      <c r="BW227" s="50">
        <v>21</v>
      </c>
      <c r="BX227" s="3" t="s">
        <v>415</v>
      </c>
    </row>
    <row r="228" spans="1:76" ht="14.4" x14ac:dyDescent="0.3">
      <c r="A228" s="53"/>
      <c r="C228" s="54" t="s">
        <v>416</v>
      </c>
      <c r="D228" s="54" t="s">
        <v>373</v>
      </c>
      <c r="F228" s="55">
        <v>8</v>
      </c>
      <c r="K228" s="56"/>
    </row>
    <row r="229" spans="1:76" ht="14.4" x14ac:dyDescent="0.3">
      <c r="A229" s="1" t="s">
        <v>417</v>
      </c>
      <c r="B229" s="2" t="s">
        <v>418</v>
      </c>
      <c r="C229" s="75" t="s">
        <v>419</v>
      </c>
      <c r="D229" s="70"/>
      <c r="E229" s="2" t="s">
        <v>278</v>
      </c>
      <c r="F229" s="50">
        <v>1</v>
      </c>
      <c r="G229" s="50">
        <v>0</v>
      </c>
      <c r="H229" s="50">
        <f>ROUND(F229*AO229,2)</f>
        <v>0</v>
      </c>
      <c r="I229" s="50">
        <f>ROUND(F229*AP229,2)</f>
        <v>0</v>
      </c>
      <c r="J229" s="50">
        <f>ROUND(F229*G229,2)</f>
        <v>0</v>
      </c>
      <c r="K229" s="51" t="s">
        <v>116</v>
      </c>
      <c r="Z229" s="50">
        <f>ROUND(IF(AQ229="5",BJ229,0),2)</f>
        <v>0</v>
      </c>
      <c r="AB229" s="50">
        <f>ROUND(IF(AQ229="1",BH229,0),2)</f>
        <v>0</v>
      </c>
      <c r="AC229" s="50">
        <f>ROUND(IF(AQ229="1",BI229,0),2)</f>
        <v>0</v>
      </c>
      <c r="AD229" s="50">
        <f>ROUND(IF(AQ229="7",BH229,0),2)</f>
        <v>0</v>
      </c>
      <c r="AE229" s="50">
        <f>ROUND(IF(AQ229="7",BI229,0),2)</f>
        <v>0</v>
      </c>
      <c r="AF229" s="50">
        <f>ROUND(IF(AQ229="2",BH229,0),2)</f>
        <v>0</v>
      </c>
      <c r="AG229" s="50">
        <f>ROUND(IF(AQ229="2",BI229,0),2)</f>
        <v>0</v>
      </c>
      <c r="AH229" s="50">
        <f>ROUND(IF(AQ229="0",BJ229,0),2)</f>
        <v>0</v>
      </c>
      <c r="AI229" s="32" t="s">
        <v>4</v>
      </c>
      <c r="AJ229" s="50">
        <f>IF(AN229=0,J229,0)</f>
        <v>0</v>
      </c>
      <c r="AK229" s="50">
        <f>IF(AN229=12,J229,0)</f>
        <v>0</v>
      </c>
      <c r="AL229" s="50">
        <f>IF(AN229=21,J229,0)</f>
        <v>0</v>
      </c>
      <c r="AN229" s="50">
        <v>21</v>
      </c>
      <c r="AO229" s="50">
        <f>G229*0.932752283</f>
        <v>0</v>
      </c>
      <c r="AP229" s="50">
        <f>G229*(1-0.932752283)</f>
        <v>0</v>
      </c>
      <c r="AQ229" s="52" t="s">
        <v>112</v>
      </c>
      <c r="AV229" s="50">
        <f>ROUND(AW229+AX229,2)</f>
        <v>0</v>
      </c>
      <c r="AW229" s="50">
        <f>ROUND(F229*AO229,2)</f>
        <v>0</v>
      </c>
      <c r="AX229" s="50">
        <f>ROUND(F229*AP229,2)</f>
        <v>0</v>
      </c>
      <c r="AY229" s="52" t="s">
        <v>356</v>
      </c>
      <c r="AZ229" s="52" t="s">
        <v>357</v>
      </c>
      <c r="BA229" s="32" t="s">
        <v>119</v>
      </c>
      <c r="BC229" s="50">
        <f>AW229+AX229</f>
        <v>0</v>
      </c>
      <c r="BD229" s="50">
        <f>G229/(100-BE229)*100</f>
        <v>0</v>
      </c>
      <c r="BE229" s="50">
        <v>0</v>
      </c>
      <c r="BF229" s="50">
        <f>229</f>
        <v>229</v>
      </c>
      <c r="BH229" s="50">
        <f>F229*AO229</f>
        <v>0</v>
      </c>
      <c r="BI229" s="50">
        <f>F229*AP229</f>
        <v>0</v>
      </c>
      <c r="BJ229" s="50">
        <f>F229*G229</f>
        <v>0</v>
      </c>
      <c r="BK229" s="50"/>
      <c r="BL229" s="50">
        <v>31</v>
      </c>
      <c r="BW229" s="50">
        <v>21</v>
      </c>
      <c r="BX229" s="3" t="s">
        <v>419</v>
      </c>
    </row>
    <row r="230" spans="1:76" ht="14.4" x14ac:dyDescent="0.3">
      <c r="A230" s="53"/>
      <c r="C230" s="54" t="s">
        <v>112</v>
      </c>
      <c r="D230" s="54" t="s">
        <v>4</v>
      </c>
      <c r="F230" s="55">
        <v>1</v>
      </c>
      <c r="K230" s="56"/>
    </row>
    <row r="231" spans="1:76" ht="14.4" x14ac:dyDescent="0.3">
      <c r="A231" s="1" t="s">
        <v>420</v>
      </c>
      <c r="B231" s="2" t="s">
        <v>421</v>
      </c>
      <c r="C231" s="75" t="s">
        <v>422</v>
      </c>
      <c r="D231" s="70"/>
      <c r="E231" s="2" t="s">
        <v>233</v>
      </c>
      <c r="F231" s="50">
        <v>6.5</v>
      </c>
      <c r="G231" s="50">
        <v>0</v>
      </c>
      <c r="H231" s="50">
        <f>ROUND(F231*AO231,2)</f>
        <v>0</v>
      </c>
      <c r="I231" s="50">
        <f>ROUND(F231*AP231,2)</f>
        <v>0</v>
      </c>
      <c r="J231" s="50">
        <f>ROUND(F231*G231,2)</f>
        <v>0</v>
      </c>
      <c r="K231" s="51" t="s">
        <v>116</v>
      </c>
      <c r="Z231" s="50">
        <f>ROUND(IF(AQ231="5",BJ231,0),2)</f>
        <v>0</v>
      </c>
      <c r="AB231" s="50">
        <f>ROUND(IF(AQ231="1",BH231,0),2)</f>
        <v>0</v>
      </c>
      <c r="AC231" s="50">
        <f>ROUND(IF(AQ231="1",BI231,0),2)</f>
        <v>0</v>
      </c>
      <c r="AD231" s="50">
        <f>ROUND(IF(AQ231="7",BH231,0),2)</f>
        <v>0</v>
      </c>
      <c r="AE231" s="50">
        <f>ROUND(IF(AQ231="7",BI231,0),2)</f>
        <v>0</v>
      </c>
      <c r="AF231" s="50">
        <f>ROUND(IF(AQ231="2",BH231,0),2)</f>
        <v>0</v>
      </c>
      <c r="AG231" s="50">
        <f>ROUND(IF(AQ231="2",BI231,0),2)</f>
        <v>0</v>
      </c>
      <c r="AH231" s="50">
        <f>ROUND(IF(AQ231="0",BJ231,0),2)</f>
        <v>0</v>
      </c>
      <c r="AI231" s="32" t="s">
        <v>4</v>
      </c>
      <c r="AJ231" s="50">
        <f>IF(AN231=0,J231,0)</f>
        <v>0</v>
      </c>
      <c r="AK231" s="50">
        <f>IF(AN231=12,J231,0)</f>
        <v>0</v>
      </c>
      <c r="AL231" s="50">
        <f>IF(AN231=21,J231,0)</f>
        <v>0</v>
      </c>
      <c r="AN231" s="50">
        <v>21</v>
      </c>
      <c r="AO231" s="50">
        <f>G231*0.87583473</f>
        <v>0</v>
      </c>
      <c r="AP231" s="50">
        <f>G231*(1-0.87583473)</f>
        <v>0</v>
      </c>
      <c r="AQ231" s="52" t="s">
        <v>112</v>
      </c>
      <c r="AV231" s="50">
        <f>ROUND(AW231+AX231,2)</f>
        <v>0</v>
      </c>
      <c r="AW231" s="50">
        <f>ROUND(F231*AO231,2)</f>
        <v>0</v>
      </c>
      <c r="AX231" s="50">
        <f>ROUND(F231*AP231,2)</f>
        <v>0</v>
      </c>
      <c r="AY231" s="52" t="s">
        <v>356</v>
      </c>
      <c r="AZ231" s="52" t="s">
        <v>357</v>
      </c>
      <c r="BA231" s="32" t="s">
        <v>119</v>
      </c>
      <c r="BC231" s="50">
        <f>AW231+AX231</f>
        <v>0</v>
      </c>
      <c r="BD231" s="50">
        <f>G231/(100-BE231)*100</f>
        <v>0</v>
      </c>
      <c r="BE231" s="50">
        <v>0</v>
      </c>
      <c r="BF231" s="50">
        <f>231</f>
        <v>231</v>
      </c>
      <c r="BH231" s="50">
        <f>F231*AO231</f>
        <v>0</v>
      </c>
      <c r="BI231" s="50">
        <f>F231*AP231</f>
        <v>0</v>
      </c>
      <c r="BJ231" s="50">
        <f>F231*G231</f>
        <v>0</v>
      </c>
      <c r="BK231" s="50"/>
      <c r="BL231" s="50">
        <v>31</v>
      </c>
      <c r="BW231" s="50">
        <v>21</v>
      </c>
      <c r="BX231" s="3" t="s">
        <v>422</v>
      </c>
    </row>
    <row r="232" spans="1:76" ht="14.4" x14ac:dyDescent="0.3">
      <c r="A232" s="53"/>
      <c r="C232" s="54" t="s">
        <v>423</v>
      </c>
      <c r="D232" s="54" t="s">
        <v>4</v>
      </c>
      <c r="F232" s="55">
        <v>6.5</v>
      </c>
      <c r="K232" s="56"/>
    </row>
    <row r="233" spans="1:76" ht="14.4" x14ac:dyDescent="0.3">
      <c r="A233" s="1" t="s">
        <v>424</v>
      </c>
      <c r="B233" s="2" t="s">
        <v>425</v>
      </c>
      <c r="C233" s="75" t="s">
        <v>426</v>
      </c>
      <c r="D233" s="70"/>
      <c r="E233" s="2" t="s">
        <v>427</v>
      </c>
      <c r="F233" s="50">
        <v>1</v>
      </c>
      <c r="G233" s="50">
        <v>0</v>
      </c>
      <c r="H233" s="50">
        <f>ROUND(F233*AO233,2)</f>
        <v>0</v>
      </c>
      <c r="I233" s="50">
        <f>ROUND(F233*AP233,2)</f>
        <v>0</v>
      </c>
      <c r="J233" s="50">
        <f>ROUND(F233*G233,2)</f>
        <v>0</v>
      </c>
      <c r="K233" s="51" t="s">
        <v>116</v>
      </c>
      <c r="Z233" s="50">
        <f>ROUND(IF(AQ233="5",BJ233,0),2)</f>
        <v>0</v>
      </c>
      <c r="AB233" s="50">
        <f>ROUND(IF(AQ233="1",BH233,0),2)</f>
        <v>0</v>
      </c>
      <c r="AC233" s="50">
        <f>ROUND(IF(AQ233="1",BI233,0),2)</f>
        <v>0</v>
      </c>
      <c r="AD233" s="50">
        <f>ROUND(IF(AQ233="7",BH233,0),2)</f>
        <v>0</v>
      </c>
      <c r="AE233" s="50">
        <f>ROUND(IF(AQ233="7",BI233,0),2)</f>
        <v>0</v>
      </c>
      <c r="AF233" s="50">
        <f>ROUND(IF(AQ233="2",BH233,0),2)</f>
        <v>0</v>
      </c>
      <c r="AG233" s="50">
        <f>ROUND(IF(AQ233="2",BI233,0),2)</f>
        <v>0</v>
      </c>
      <c r="AH233" s="50">
        <f>ROUND(IF(AQ233="0",BJ233,0),2)</f>
        <v>0</v>
      </c>
      <c r="AI233" s="32" t="s">
        <v>4</v>
      </c>
      <c r="AJ233" s="50">
        <f>IF(AN233=0,J233,0)</f>
        <v>0</v>
      </c>
      <c r="AK233" s="50">
        <f>IF(AN233=12,J233,0)</f>
        <v>0</v>
      </c>
      <c r="AL233" s="50">
        <f>IF(AN233=21,J233,0)</f>
        <v>0</v>
      </c>
      <c r="AN233" s="50">
        <v>21</v>
      </c>
      <c r="AO233" s="50">
        <f>G233*0.931029976</f>
        <v>0</v>
      </c>
      <c r="AP233" s="50">
        <f>G233*(1-0.931029976)</f>
        <v>0</v>
      </c>
      <c r="AQ233" s="52" t="s">
        <v>112</v>
      </c>
      <c r="AV233" s="50">
        <f>ROUND(AW233+AX233,2)</f>
        <v>0</v>
      </c>
      <c r="AW233" s="50">
        <f>ROUND(F233*AO233,2)</f>
        <v>0</v>
      </c>
      <c r="AX233" s="50">
        <f>ROUND(F233*AP233,2)</f>
        <v>0</v>
      </c>
      <c r="AY233" s="52" t="s">
        <v>356</v>
      </c>
      <c r="AZ233" s="52" t="s">
        <v>357</v>
      </c>
      <c r="BA233" s="32" t="s">
        <v>119</v>
      </c>
      <c r="BC233" s="50">
        <f>AW233+AX233</f>
        <v>0</v>
      </c>
      <c r="BD233" s="50">
        <f>G233/(100-BE233)*100</f>
        <v>0</v>
      </c>
      <c r="BE233" s="50">
        <v>0</v>
      </c>
      <c r="BF233" s="50">
        <f>233</f>
        <v>233</v>
      </c>
      <c r="BH233" s="50">
        <f>F233*AO233</f>
        <v>0</v>
      </c>
      <c r="BI233" s="50">
        <f>F233*AP233</f>
        <v>0</v>
      </c>
      <c r="BJ233" s="50">
        <f>F233*G233</f>
        <v>0</v>
      </c>
      <c r="BK233" s="50"/>
      <c r="BL233" s="50">
        <v>31</v>
      </c>
      <c r="BW233" s="50">
        <v>21</v>
      </c>
      <c r="BX233" s="3" t="s">
        <v>426</v>
      </c>
    </row>
    <row r="234" spans="1:76" ht="14.4" x14ac:dyDescent="0.3">
      <c r="A234" s="53"/>
      <c r="C234" s="54" t="s">
        <v>112</v>
      </c>
      <c r="D234" s="54" t="s">
        <v>4</v>
      </c>
      <c r="F234" s="55">
        <v>1</v>
      </c>
      <c r="K234" s="56"/>
    </row>
    <row r="235" spans="1:76" ht="14.4" x14ac:dyDescent="0.3">
      <c r="A235" s="1" t="s">
        <v>428</v>
      </c>
      <c r="B235" s="2" t="s">
        <v>429</v>
      </c>
      <c r="C235" s="75" t="s">
        <v>430</v>
      </c>
      <c r="D235" s="70"/>
      <c r="E235" s="2" t="s">
        <v>233</v>
      </c>
      <c r="F235" s="50">
        <v>1.7</v>
      </c>
      <c r="G235" s="50">
        <v>0</v>
      </c>
      <c r="H235" s="50">
        <f>ROUND(F235*AO235,2)</f>
        <v>0</v>
      </c>
      <c r="I235" s="50">
        <f>ROUND(F235*AP235,2)</f>
        <v>0</v>
      </c>
      <c r="J235" s="50">
        <f>ROUND(F235*G235,2)</f>
        <v>0</v>
      </c>
      <c r="K235" s="51" t="s">
        <v>116</v>
      </c>
      <c r="Z235" s="50">
        <f>ROUND(IF(AQ235="5",BJ235,0),2)</f>
        <v>0</v>
      </c>
      <c r="AB235" s="50">
        <f>ROUND(IF(AQ235="1",BH235,0),2)</f>
        <v>0</v>
      </c>
      <c r="AC235" s="50">
        <f>ROUND(IF(AQ235="1",BI235,0),2)</f>
        <v>0</v>
      </c>
      <c r="AD235" s="50">
        <f>ROUND(IF(AQ235="7",BH235,0),2)</f>
        <v>0</v>
      </c>
      <c r="AE235" s="50">
        <f>ROUND(IF(AQ235="7",BI235,0),2)</f>
        <v>0</v>
      </c>
      <c r="AF235" s="50">
        <f>ROUND(IF(AQ235="2",BH235,0),2)</f>
        <v>0</v>
      </c>
      <c r="AG235" s="50">
        <f>ROUND(IF(AQ235="2",BI235,0),2)</f>
        <v>0</v>
      </c>
      <c r="AH235" s="50">
        <f>ROUND(IF(AQ235="0",BJ235,0),2)</f>
        <v>0</v>
      </c>
      <c r="AI235" s="32" t="s">
        <v>4</v>
      </c>
      <c r="AJ235" s="50">
        <f>IF(AN235=0,J235,0)</f>
        <v>0</v>
      </c>
      <c r="AK235" s="50">
        <f>IF(AN235=12,J235,0)</f>
        <v>0</v>
      </c>
      <c r="AL235" s="50">
        <f>IF(AN235=21,J235,0)</f>
        <v>0</v>
      </c>
      <c r="AN235" s="50">
        <v>21</v>
      </c>
      <c r="AO235" s="50">
        <f>G235*0.671043824</f>
        <v>0</v>
      </c>
      <c r="AP235" s="50">
        <f>G235*(1-0.671043824)</f>
        <v>0</v>
      </c>
      <c r="AQ235" s="52" t="s">
        <v>112</v>
      </c>
      <c r="AV235" s="50">
        <f>ROUND(AW235+AX235,2)</f>
        <v>0</v>
      </c>
      <c r="AW235" s="50">
        <f>ROUND(F235*AO235,2)</f>
        <v>0</v>
      </c>
      <c r="AX235" s="50">
        <f>ROUND(F235*AP235,2)</f>
        <v>0</v>
      </c>
      <c r="AY235" s="52" t="s">
        <v>356</v>
      </c>
      <c r="AZ235" s="52" t="s">
        <v>357</v>
      </c>
      <c r="BA235" s="32" t="s">
        <v>119</v>
      </c>
      <c r="BC235" s="50">
        <f>AW235+AX235</f>
        <v>0</v>
      </c>
      <c r="BD235" s="50">
        <f>G235/(100-BE235)*100</f>
        <v>0</v>
      </c>
      <c r="BE235" s="50">
        <v>0</v>
      </c>
      <c r="BF235" s="50">
        <f>235</f>
        <v>235</v>
      </c>
      <c r="BH235" s="50">
        <f>F235*AO235</f>
        <v>0</v>
      </c>
      <c r="BI235" s="50">
        <f>F235*AP235</f>
        <v>0</v>
      </c>
      <c r="BJ235" s="50">
        <f>F235*G235</f>
        <v>0</v>
      </c>
      <c r="BK235" s="50"/>
      <c r="BL235" s="50">
        <v>31</v>
      </c>
      <c r="BW235" s="50">
        <v>21</v>
      </c>
      <c r="BX235" s="3" t="s">
        <v>430</v>
      </c>
    </row>
    <row r="236" spans="1:76" ht="14.4" x14ac:dyDescent="0.3">
      <c r="A236" s="53"/>
      <c r="C236" s="54" t="s">
        <v>431</v>
      </c>
      <c r="D236" s="54" t="s">
        <v>4</v>
      </c>
      <c r="F236" s="55">
        <v>1.7</v>
      </c>
      <c r="K236" s="56"/>
    </row>
    <row r="237" spans="1:76" ht="14.4" x14ac:dyDescent="0.3">
      <c r="A237" s="1" t="s">
        <v>432</v>
      </c>
      <c r="B237" s="2" t="s">
        <v>433</v>
      </c>
      <c r="C237" s="75" t="s">
        <v>434</v>
      </c>
      <c r="D237" s="70"/>
      <c r="E237" s="2" t="s">
        <v>278</v>
      </c>
      <c r="F237" s="50">
        <v>2</v>
      </c>
      <c r="G237" s="50">
        <v>0</v>
      </c>
      <c r="H237" s="50">
        <f>ROUND(F237*AO237,2)</f>
        <v>0</v>
      </c>
      <c r="I237" s="50">
        <f>ROUND(F237*AP237,2)</f>
        <v>0</v>
      </c>
      <c r="J237" s="50">
        <f>ROUND(F237*G237,2)</f>
        <v>0</v>
      </c>
      <c r="K237" s="51" t="s">
        <v>116</v>
      </c>
      <c r="Z237" s="50">
        <f>ROUND(IF(AQ237="5",BJ237,0),2)</f>
        <v>0</v>
      </c>
      <c r="AB237" s="50">
        <f>ROUND(IF(AQ237="1",BH237,0),2)</f>
        <v>0</v>
      </c>
      <c r="AC237" s="50">
        <f>ROUND(IF(AQ237="1",BI237,0),2)</f>
        <v>0</v>
      </c>
      <c r="AD237" s="50">
        <f>ROUND(IF(AQ237="7",BH237,0),2)</f>
        <v>0</v>
      </c>
      <c r="AE237" s="50">
        <f>ROUND(IF(AQ237="7",BI237,0),2)</f>
        <v>0</v>
      </c>
      <c r="AF237" s="50">
        <f>ROUND(IF(AQ237="2",BH237,0),2)</f>
        <v>0</v>
      </c>
      <c r="AG237" s="50">
        <f>ROUND(IF(AQ237="2",BI237,0),2)</f>
        <v>0</v>
      </c>
      <c r="AH237" s="50">
        <f>ROUND(IF(AQ237="0",BJ237,0),2)</f>
        <v>0</v>
      </c>
      <c r="AI237" s="32" t="s">
        <v>4</v>
      </c>
      <c r="AJ237" s="50">
        <f>IF(AN237=0,J237,0)</f>
        <v>0</v>
      </c>
      <c r="AK237" s="50">
        <f>IF(AN237=12,J237,0)</f>
        <v>0</v>
      </c>
      <c r="AL237" s="50">
        <f>IF(AN237=21,J237,0)</f>
        <v>0</v>
      </c>
      <c r="AN237" s="50">
        <v>21</v>
      </c>
      <c r="AO237" s="50">
        <f>G237*0.731844532</f>
        <v>0</v>
      </c>
      <c r="AP237" s="50">
        <f>G237*(1-0.731844532)</f>
        <v>0</v>
      </c>
      <c r="AQ237" s="52" t="s">
        <v>112</v>
      </c>
      <c r="AV237" s="50">
        <f>ROUND(AW237+AX237,2)</f>
        <v>0</v>
      </c>
      <c r="AW237" s="50">
        <f>ROUND(F237*AO237,2)</f>
        <v>0</v>
      </c>
      <c r="AX237" s="50">
        <f>ROUND(F237*AP237,2)</f>
        <v>0</v>
      </c>
      <c r="AY237" s="52" t="s">
        <v>356</v>
      </c>
      <c r="AZ237" s="52" t="s">
        <v>357</v>
      </c>
      <c r="BA237" s="32" t="s">
        <v>119</v>
      </c>
      <c r="BC237" s="50">
        <f>AW237+AX237</f>
        <v>0</v>
      </c>
      <c r="BD237" s="50">
        <f>G237/(100-BE237)*100</f>
        <v>0</v>
      </c>
      <c r="BE237" s="50">
        <v>0</v>
      </c>
      <c r="BF237" s="50">
        <f>237</f>
        <v>237</v>
      </c>
      <c r="BH237" s="50">
        <f>F237*AO237</f>
        <v>0</v>
      </c>
      <c r="BI237" s="50">
        <f>F237*AP237</f>
        <v>0</v>
      </c>
      <c r="BJ237" s="50">
        <f>F237*G237</f>
        <v>0</v>
      </c>
      <c r="BK237" s="50"/>
      <c r="BL237" s="50">
        <v>31</v>
      </c>
      <c r="BW237" s="50">
        <v>21</v>
      </c>
      <c r="BX237" s="3" t="s">
        <v>434</v>
      </c>
    </row>
    <row r="238" spans="1:76" ht="14.4" x14ac:dyDescent="0.3">
      <c r="A238" s="53"/>
      <c r="C238" s="54" t="s">
        <v>132</v>
      </c>
      <c r="D238" s="54" t="s">
        <v>373</v>
      </c>
      <c r="F238" s="55">
        <v>2</v>
      </c>
      <c r="K238" s="56"/>
    </row>
    <row r="239" spans="1:76" ht="14.4" x14ac:dyDescent="0.3">
      <c r="A239" s="46" t="s">
        <v>4</v>
      </c>
      <c r="B239" s="47" t="s">
        <v>292</v>
      </c>
      <c r="C239" s="148" t="s">
        <v>435</v>
      </c>
      <c r="D239" s="149"/>
      <c r="E239" s="48" t="s">
        <v>74</v>
      </c>
      <c r="F239" s="48" t="s">
        <v>74</v>
      </c>
      <c r="G239" s="48" t="s">
        <v>74</v>
      </c>
      <c r="H239" s="26">
        <f>SUM(H240:H252)</f>
        <v>0</v>
      </c>
      <c r="I239" s="26">
        <f>SUM(I240:I252)</f>
        <v>0</v>
      </c>
      <c r="J239" s="26">
        <f>SUM(J240:J252)</f>
        <v>0</v>
      </c>
      <c r="K239" s="49" t="s">
        <v>4</v>
      </c>
      <c r="AI239" s="32" t="s">
        <v>4</v>
      </c>
      <c r="AS239" s="26">
        <f>SUM(AJ240:AJ252)</f>
        <v>0</v>
      </c>
      <c r="AT239" s="26">
        <f>SUM(AK240:AK252)</f>
        <v>0</v>
      </c>
      <c r="AU239" s="26">
        <f>SUM(AL240:AL252)</f>
        <v>0</v>
      </c>
    </row>
    <row r="240" spans="1:76" ht="14.4" x14ac:dyDescent="0.3">
      <c r="A240" s="1" t="s">
        <v>436</v>
      </c>
      <c r="B240" s="2" t="s">
        <v>437</v>
      </c>
      <c r="C240" s="75" t="s">
        <v>438</v>
      </c>
      <c r="D240" s="70"/>
      <c r="E240" s="2" t="s">
        <v>115</v>
      </c>
      <c r="F240" s="50">
        <v>0.25</v>
      </c>
      <c r="G240" s="50">
        <v>0</v>
      </c>
      <c r="H240" s="50">
        <f>ROUND(F240*AO240,2)</f>
        <v>0</v>
      </c>
      <c r="I240" s="50">
        <f>ROUND(F240*AP240,2)</f>
        <v>0</v>
      </c>
      <c r="J240" s="50">
        <f>ROUND(F240*G240,2)</f>
        <v>0</v>
      </c>
      <c r="K240" s="51" t="s">
        <v>116</v>
      </c>
      <c r="Z240" s="50">
        <f>ROUND(IF(AQ240="5",BJ240,0),2)</f>
        <v>0</v>
      </c>
      <c r="AB240" s="50">
        <f>ROUND(IF(AQ240="1",BH240,0),2)</f>
        <v>0</v>
      </c>
      <c r="AC240" s="50">
        <f>ROUND(IF(AQ240="1",BI240,0),2)</f>
        <v>0</v>
      </c>
      <c r="AD240" s="50">
        <f>ROUND(IF(AQ240="7",BH240,0),2)</f>
        <v>0</v>
      </c>
      <c r="AE240" s="50">
        <f>ROUND(IF(AQ240="7",BI240,0),2)</f>
        <v>0</v>
      </c>
      <c r="AF240" s="50">
        <f>ROUND(IF(AQ240="2",BH240,0),2)</f>
        <v>0</v>
      </c>
      <c r="AG240" s="50">
        <f>ROUND(IF(AQ240="2",BI240,0),2)</f>
        <v>0</v>
      </c>
      <c r="AH240" s="50">
        <f>ROUND(IF(AQ240="0",BJ240,0),2)</f>
        <v>0</v>
      </c>
      <c r="AI240" s="32" t="s">
        <v>4</v>
      </c>
      <c r="AJ240" s="50">
        <f>IF(AN240=0,J240,0)</f>
        <v>0</v>
      </c>
      <c r="AK240" s="50">
        <f>IF(AN240=12,J240,0)</f>
        <v>0</v>
      </c>
      <c r="AL240" s="50">
        <f>IF(AN240=21,J240,0)</f>
        <v>0</v>
      </c>
      <c r="AN240" s="50">
        <v>21</v>
      </c>
      <c r="AO240" s="50">
        <f>G240*0.749033457</f>
        <v>0</v>
      </c>
      <c r="AP240" s="50">
        <f>G240*(1-0.749033457)</f>
        <v>0</v>
      </c>
      <c r="AQ240" s="52" t="s">
        <v>112</v>
      </c>
      <c r="AV240" s="50">
        <f>ROUND(AW240+AX240,2)</f>
        <v>0</v>
      </c>
      <c r="AW240" s="50">
        <f>ROUND(F240*AO240,2)</f>
        <v>0</v>
      </c>
      <c r="AX240" s="50">
        <f>ROUND(F240*AP240,2)</f>
        <v>0</v>
      </c>
      <c r="AY240" s="52" t="s">
        <v>439</v>
      </c>
      <c r="AZ240" s="52" t="s">
        <v>357</v>
      </c>
      <c r="BA240" s="32" t="s">
        <v>119</v>
      </c>
      <c r="BC240" s="50">
        <f>AW240+AX240</f>
        <v>0</v>
      </c>
      <c r="BD240" s="50">
        <f>G240/(100-BE240)*100</f>
        <v>0</v>
      </c>
      <c r="BE240" s="50">
        <v>0</v>
      </c>
      <c r="BF240" s="50">
        <f>240</f>
        <v>240</v>
      </c>
      <c r="BH240" s="50">
        <f>F240*AO240</f>
        <v>0</v>
      </c>
      <c r="BI240" s="50">
        <f>F240*AP240</f>
        <v>0</v>
      </c>
      <c r="BJ240" s="50">
        <f>F240*G240</f>
        <v>0</v>
      </c>
      <c r="BK240" s="50"/>
      <c r="BL240" s="50">
        <v>33</v>
      </c>
      <c r="BW240" s="50">
        <v>21</v>
      </c>
      <c r="BX240" s="3" t="s">
        <v>438</v>
      </c>
    </row>
    <row r="241" spans="1:76" ht="14.4" x14ac:dyDescent="0.3">
      <c r="A241" s="53"/>
      <c r="C241" s="54" t="s">
        <v>440</v>
      </c>
      <c r="D241" s="54" t="s">
        <v>441</v>
      </c>
      <c r="F241" s="55">
        <v>0.25</v>
      </c>
      <c r="K241" s="56"/>
    </row>
    <row r="242" spans="1:76" ht="14.4" x14ac:dyDescent="0.3">
      <c r="A242" s="1" t="s">
        <v>442</v>
      </c>
      <c r="B242" s="2" t="s">
        <v>443</v>
      </c>
      <c r="C242" s="75" t="s">
        <v>444</v>
      </c>
      <c r="D242" s="70"/>
      <c r="E242" s="2" t="s">
        <v>278</v>
      </c>
      <c r="F242" s="50">
        <v>25</v>
      </c>
      <c r="G242" s="50">
        <v>0</v>
      </c>
      <c r="H242" s="50">
        <f>ROUND(F242*AO242,2)</f>
        <v>0</v>
      </c>
      <c r="I242" s="50">
        <f>ROUND(F242*AP242,2)</f>
        <v>0</v>
      </c>
      <c r="J242" s="50">
        <f>ROUND(F242*G242,2)</f>
        <v>0</v>
      </c>
      <c r="K242" s="51" t="s">
        <v>116</v>
      </c>
      <c r="Z242" s="50">
        <f>ROUND(IF(AQ242="5",BJ242,0),2)</f>
        <v>0</v>
      </c>
      <c r="AB242" s="50">
        <f>ROUND(IF(AQ242="1",BH242,0),2)</f>
        <v>0</v>
      </c>
      <c r="AC242" s="50">
        <f>ROUND(IF(AQ242="1",BI242,0),2)</f>
        <v>0</v>
      </c>
      <c r="AD242" s="50">
        <f>ROUND(IF(AQ242="7",BH242,0),2)</f>
        <v>0</v>
      </c>
      <c r="AE242" s="50">
        <f>ROUND(IF(AQ242="7",BI242,0),2)</f>
        <v>0</v>
      </c>
      <c r="AF242" s="50">
        <f>ROUND(IF(AQ242="2",BH242,0),2)</f>
        <v>0</v>
      </c>
      <c r="AG242" s="50">
        <f>ROUND(IF(AQ242="2",BI242,0),2)</f>
        <v>0</v>
      </c>
      <c r="AH242" s="50">
        <f>ROUND(IF(AQ242="0",BJ242,0),2)</f>
        <v>0</v>
      </c>
      <c r="AI242" s="32" t="s">
        <v>4</v>
      </c>
      <c r="AJ242" s="50">
        <f>IF(AN242=0,J242,0)</f>
        <v>0</v>
      </c>
      <c r="AK242" s="50">
        <f>IF(AN242=12,J242,0)</f>
        <v>0</v>
      </c>
      <c r="AL242" s="50">
        <f>IF(AN242=21,J242,0)</f>
        <v>0</v>
      </c>
      <c r="AN242" s="50">
        <v>21</v>
      </c>
      <c r="AO242" s="50">
        <f>G242*0.391383812</f>
        <v>0</v>
      </c>
      <c r="AP242" s="50">
        <f>G242*(1-0.391383812)</f>
        <v>0</v>
      </c>
      <c r="AQ242" s="52" t="s">
        <v>112</v>
      </c>
      <c r="AV242" s="50">
        <f>ROUND(AW242+AX242,2)</f>
        <v>0</v>
      </c>
      <c r="AW242" s="50">
        <f>ROUND(F242*AO242,2)</f>
        <v>0</v>
      </c>
      <c r="AX242" s="50">
        <f>ROUND(F242*AP242,2)</f>
        <v>0</v>
      </c>
      <c r="AY242" s="52" t="s">
        <v>439</v>
      </c>
      <c r="AZ242" s="52" t="s">
        <v>357</v>
      </c>
      <c r="BA242" s="32" t="s">
        <v>119</v>
      </c>
      <c r="BC242" s="50">
        <f>AW242+AX242</f>
        <v>0</v>
      </c>
      <c r="BD242" s="50">
        <f>G242/(100-BE242)*100</f>
        <v>0</v>
      </c>
      <c r="BE242" s="50">
        <v>0</v>
      </c>
      <c r="BF242" s="50">
        <f>242</f>
        <v>242</v>
      </c>
      <c r="BH242" s="50">
        <f>F242*AO242</f>
        <v>0</v>
      </c>
      <c r="BI242" s="50">
        <f>F242*AP242</f>
        <v>0</v>
      </c>
      <c r="BJ242" s="50">
        <f>F242*G242</f>
        <v>0</v>
      </c>
      <c r="BK242" s="50"/>
      <c r="BL242" s="50">
        <v>33</v>
      </c>
      <c r="BW242" s="50">
        <v>21</v>
      </c>
      <c r="BX242" s="3" t="s">
        <v>444</v>
      </c>
    </row>
    <row r="243" spans="1:76" ht="14.4" x14ac:dyDescent="0.3">
      <c r="A243" s="53"/>
      <c r="C243" s="54" t="s">
        <v>258</v>
      </c>
      <c r="D243" s="54" t="s">
        <v>4</v>
      </c>
      <c r="F243" s="55">
        <v>25</v>
      </c>
      <c r="K243" s="56"/>
    </row>
    <row r="244" spans="1:76" ht="14.4" x14ac:dyDescent="0.3">
      <c r="A244" s="1" t="s">
        <v>445</v>
      </c>
      <c r="B244" s="2" t="s">
        <v>446</v>
      </c>
      <c r="C244" s="75" t="s">
        <v>447</v>
      </c>
      <c r="D244" s="70"/>
      <c r="E244" s="2" t="s">
        <v>278</v>
      </c>
      <c r="F244" s="50">
        <v>20</v>
      </c>
      <c r="G244" s="50">
        <v>0</v>
      </c>
      <c r="H244" s="50">
        <f>ROUND(F244*AO244,2)</f>
        <v>0</v>
      </c>
      <c r="I244" s="50">
        <f>ROUND(F244*AP244,2)</f>
        <v>0</v>
      </c>
      <c r="J244" s="50">
        <f>ROUND(F244*G244,2)</f>
        <v>0</v>
      </c>
      <c r="K244" s="51" t="s">
        <v>116</v>
      </c>
      <c r="Z244" s="50">
        <f>ROUND(IF(AQ244="5",BJ244,0),2)</f>
        <v>0</v>
      </c>
      <c r="AB244" s="50">
        <f>ROUND(IF(AQ244="1",BH244,0),2)</f>
        <v>0</v>
      </c>
      <c r="AC244" s="50">
        <f>ROUND(IF(AQ244="1",BI244,0),2)</f>
        <v>0</v>
      </c>
      <c r="AD244" s="50">
        <f>ROUND(IF(AQ244="7",BH244,0),2)</f>
        <v>0</v>
      </c>
      <c r="AE244" s="50">
        <f>ROUND(IF(AQ244="7",BI244,0),2)</f>
        <v>0</v>
      </c>
      <c r="AF244" s="50">
        <f>ROUND(IF(AQ244="2",BH244,0),2)</f>
        <v>0</v>
      </c>
      <c r="AG244" s="50">
        <f>ROUND(IF(AQ244="2",BI244,0),2)</f>
        <v>0</v>
      </c>
      <c r="AH244" s="50">
        <f>ROUND(IF(AQ244="0",BJ244,0),2)</f>
        <v>0</v>
      </c>
      <c r="AI244" s="32" t="s">
        <v>4</v>
      </c>
      <c r="AJ244" s="50">
        <f>IF(AN244=0,J244,0)</f>
        <v>0</v>
      </c>
      <c r="AK244" s="50">
        <f>IF(AN244=12,J244,0)</f>
        <v>0</v>
      </c>
      <c r="AL244" s="50">
        <f>IF(AN244=21,J244,0)</f>
        <v>0</v>
      </c>
      <c r="AN244" s="50">
        <v>21</v>
      </c>
      <c r="AO244" s="50">
        <f>G244*1</f>
        <v>0</v>
      </c>
      <c r="AP244" s="50">
        <f>G244*(1-1)</f>
        <v>0</v>
      </c>
      <c r="AQ244" s="52" t="s">
        <v>112</v>
      </c>
      <c r="AV244" s="50">
        <f>ROUND(AW244+AX244,2)</f>
        <v>0</v>
      </c>
      <c r="AW244" s="50">
        <f>ROUND(F244*AO244,2)</f>
        <v>0</v>
      </c>
      <c r="AX244" s="50">
        <f>ROUND(F244*AP244,2)</f>
        <v>0</v>
      </c>
      <c r="AY244" s="52" t="s">
        <v>439</v>
      </c>
      <c r="AZ244" s="52" t="s">
        <v>357</v>
      </c>
      <c r="BA244" s="32" t="s">
        <v>119</v>
      </c>
      <c r="BC244" s="50">
        <f>AW244+AX244</f>
        <v>0</v>
      </c>
      <c r="BD244" s="50">
        <f>G244/(100-BE244)*100</f>
        <v>0</v>
      </c>
      <c r="BE244" s="50">
        <v>0</v>
      </c>
      <c r="BF244" s="50">
        <f>244</f>
        <v>244</v>
      </c>
      <c r="BH244" s="50">
        <f>F244*AO244</f>
        <v>0</v>
      </c>
      <c r="BI244" s="50">
        <f>F244*AP244</f>
        <v>0</v>
      </c>
      <c r="BJ244" s="50">
        <f>F244*G244</f>
        <v>0</v>
      </c>
      <c r="BK244" s="50"/>
      <c r="BL244" s="50">
        <v>33</v>
      </c>
      <c r="BW244" s="50">
        <v>21</v>
      </c>
      <c r="BX244" s="3" t="s">
        <v>447</v>
      </c>
    </row>
    <row r="245" spans="1:76" ht="14.4" x14ac:dyDescent="0.3">
      <c r="A245" s="53"/>
      <c r="C245" s="54" t="s">
        <v>239</v>
      </c>
      <c r="D245" s="54" t="s">
        <v>4</v>
      </c>
      <c r="F245" s="55">
        <v>20</v>
      </c>
      <c r="K245" s="56"/>
    </row>
    <row r="246" spans="1:76" ht="14.4" x14ac:dyDescent="0.3">
      <c r="A246" s="1" t="s">
        <v>448</v>
      </c>
      <c r="B246" s="2" t="s">
        <v>449</v>
      </c>
      <c r="C246" s="75" t="s">
        <v>450</v>
      </c>
      <c r="D246" s="70"/>
      <c r="E246" s="2" t="s">
        <v>278</v>
      </c>
      <c r="F246" s="50">
        <v>5</v>
      </c>
      <c r="G246" s="50">
        <v>0</v>
      </c>
      <c r="H246" s="50">
        <f>ROUND(F246*AO246,2)</f>
        <v>0</v>
      </c>
      <c r="I246" s="50">
        <f>ROUND(F246*AP246,2)</f>
        <v>0</v>
      </c>
      <c r="J246" s="50">
        <f>ROUND(F246*G246,2)</f>
        <v>0</v>
      </c>
      <c r="K246" s="51" t="s">
        <v>116</v>
      </c>
      <c r="Z246" s="50">
        <f>ROUND(IF(AQ246="5",BJ246,0),2)</f>
        <v>0</v>
      </c>
      <c r="AB246" s="50">
        <f>ROUND(IF(AQ246="1",BH246,0),2)</f>
        <v>0</v>
      </c>
      <c r="AC246" s="50">
        <f>ROUND(IF(AQ246="1",BI246,0),2)</f>
        <v>0</v>
      </c>
      <c r="AD246" s="50">
        <f>ROUND(IF(AQ246="7",BH246,0),2)</f>
        <v>0</v>
      </c>
      <c r="AE246" s="50">
        <f>ROUND(IF(AQ246="7",BI246,0),2)</f>
        <v>0</v>
      </c>
      <c r="AF246" s="50">
        <f>ROUND(IF(AQ246="2",BH246,0),2)</f>
        <v>0</v>
      </c>
      <c r="AG246" s="50">
        <f>ROUND(IF(AQ246="2",BI246,0),2)</f>
        <v>0</v>
      </c>
      <c r="AH246" s="50">
        <f>ROUND(IF(AQ246="0",BJ246,0),2)</f>
        <v>0</v>
      </c>
      <c r="AI246" s="32" t="s">
        <v>4</v>
      </c>
      <c r="AJ246" s="50">
        <f>IF(AN246=0,J246,0)</f>
        <v>0</v>
      </c>
      <c r="AK246" s="50">
        <f>IF(AN246=12,J246,0)</f>
        <v>0</v>
      </c>
      <c r="AL246" s="50">
        <f>IF(AN246=21,J246,0)</f>
        <v>0</v>
      </c>
      <c r="AN246" s="50">
        <v>21</v>
      </c>
      <c r="AO246" s="50">
        <f>G246*1</f>
        <v>0</v>
      </c>
      <c r="AP246" s="50">
        <f>G246*(1-1)</f>
        <v>0</v>
      </c>
      <c r="AQ246" s="52" t="s">
        <v>112</v>
      </c>
      <c r="AV246" s="50">
        <f>ROUND(AW246+AX246,2)</f>
        <v>0</v>
      </c>
      <c r="AW246" s="50">
        <f>ROUND(F246*AO246,2)</f>
        <v>0</v>
      </c>
      <c r="AX246" s="50">
        <f>ROUND(F246*AP246,2)</f>
        <v>0</v>
      </c>
      <c r="AY246" s="52" t="s">
        <v>439</v>
      </c>
      <c r="AZ246" s="52" t="s">
        <v>357</v>
      </c>
      <c r="BA246" s="32" t="s">
        <v>119</v>
      </c>
      <c r="BC246" s="50">
        <f>AW246+AX246</f>
        <v>0</v>
      </c>
      <c r="BD246" s="50">
        <f>G246/(100-BE246)*100</f>
        <v>0</v>
      </c>
      <c r="BE246" s="50">
        <v>0</v>
      </c>
      <c r="BF246" s="50">
        <f>246</f>
        <v>246</v>
      </c>
      <c r="BH246" s="50">
        <f>F246*AO246</f>
        <v>0</v>
      </c>
      <c r="BI246" s="50">
        <f>F246*AP246</f>
        <v>0</v>
      </c>
      <c r="BJ246" s="50">
        <f>F246*G246</f>
        <v>0</v>
      </c>
      <c r="BK246" s="50"/>
      <c r="BL246" s="50">
        <v>33</v>
      </c>
      <c r="BW246" s="50">
        <v>21</v>
      </c>
      <c r="BX246" s="3" t="s">
        <v>450</v>
      </c>
    </row>
    <row r="247" spans="1:76" ht="14.4" x14ac:dyDescent="0.3">
      <c r="A247" s="53"/>
      <c r="C247" s="54" t="s">
        <v>147</v>
      </c>
      <c r="D247" s="54" t="s">
        <v>4</v>
      </c>
      <c r="F247" s="55">
        <v>5</v>
      </c>
      <c r="K247" s="56"/>
    </row>
    <row r="248" spans="1:76" ht="14.4" x14ac:dyDescent="0.3">
      <c r="A248" s="1" t="s">
        <v>451</v>
      </c>
      <c r="B248" s="2" t="s">
        <v>452</v>
      </c>
      <c r="C248" s="75" t="s">
        <v>453</v>
      </c>
      <c r="D248" s="70"/>
      <c r="E248" s="2" t="s">
        <v>278</v>
      </c>
      <c r="F248" s="50">
        <v>8</v>
      </c>
      <c r="G248" s="50">
        <v>0</v>
      </c>
      <c r="H248" s="50">
        <f>ROUND(F248*AO248,2)</f>
        <v>0</v>
      </c>
      <c r="I248" s="50">
        <f>ROUND(F248*AP248,2)</f>
        <v>0</v>
      </c>
      <c r="J248" s="50">
        <f>ROUND(F248*G248,2)</f>
        <v>0</v>
      </c>
      <c r="K248" s="51" t="s">
        <v>116</v>
      </c>
      <c r="Z248" s="50">
        <f>ROUND(IF(AQ248="5",BJ248,0),2)</f>
        <v>0</v>
      </c>
      <c r="AB248" s="50">
        <f>ROUND(IF(AQ248="1",BH248,0),2)</f>
        <v>0</v>
      </c>
      <c r="AC248" s="50">
        <f>ROUND(IF(AQ248="1",BI248,0),2)</f>
        <v>0</v>
      </c>
      <c r="AD248" s="50">
        <f>ROUND(IF(AQ248="7",BH248,0),2)</f>
        <v>0</v>
      </c>
      <c r="AE248" s="50">
        <f>ROUND(IF(AQ248="7",BI248,0),2)</f>
        <v>0</v>
      </c>
      <c r="AF248" s="50">
        <f>ROUND(IF(AQ248="2",BH248,0),2)</f>
        <v>0</v>
      </c>
      <c r="AG248" s="50">
        <f>ROUND(IF(AQ248="2",BI248,0),2)</f>
        <v>0</v>
      </c>
      <c r="AH248" s="50">
        <f>ROUND(IF(AQ248="0",BJ248,0),2)</f>
        <v>0</v>
      </c>
      <c r="AI248" s="32" t="s">
        <v>4</v>
      </c>
      <c r="AJ248" s="50">
        <f>IF(AN248=0,J248,0)</f>
        <v>0</v>
      </c>
      <c r="AK248" s="50">
        <f>IF(AN248=12,J248,0)</f>
        <v>0</v>
      </c>
      <c r="AL248" s="50">
        <f>IF(AN248=21,J248,0)</f>
        <v>0</v>
      </c>
      <c r="AN248" s="50">
        <v>21</v>
      </c>
      <c r="AO248" s="50">
        <f>G248*1</f>
        <v>0</v>
      </c>
      <c r="AP248" s="50">
        <f>G248*(1-1)</f>
        <v>0</v>
      </c>
      <c r="AQ248" s="52" t="s">
        <v>112</v>
      </c>
      <c r="AV248" s="50">
        <f>ROUND(AW248+AX248,2)</f>
        <v>0</v>
      </c>
      <c r="AW248" s="50">
        <f>ROUND(F248*AO248,2)</f>
        <v>0</v>
      </c>
      <c r="AX248" s="50">
        <f>ROUND(F248*AP248,2)</f>
        <v>0</v>
      </c>
      <c r="AY248" s="52" t="s">
        <v>439</v>
      </c>
      <c r="AZ248" s="52" t="s">
        <v>357</v>
      </c>
      <c r="BA248" s="32" t="s">
        <v>119</v>
      </c>
      <c r="BC248" s="50">
        <f>AW248+AX248</f>
        <v>0</v>
      </c>
      <c r="BD248" s="50">
        <f>G248/(100-BE248)*100</f>
        <v>0</v>
      </c>
      <c r="BE248" s="50">
        <v>0</v>
      </c>
      <c r="BF248" s="50">
        <f>248</f>
        <v>248</v>
      </c>
      <c r="BH248" s="50">
        <f>F248*AO248</f>
        <v>0</v>
      </c>
      <c r="BI248" s="50">
        <f>F248*AP248</f>
        <v>0</v>
      </c>
      <c r="BJ248" s="50">
        <f>F248*G248</f>
        <v>0</v>
      </c>
      <c r="BK248" s="50"/>
      <c r="BL248" s="50">
        <v>33</v>
      </c>
      <c r="BW248" s="50">
        <v>21</v>
      </c>
      <c r="BX248" s="3" t="s">
        <v>453</v>
      </c>
    </row>
    <row r="249" spans="1:76" ht="14.4" x14ac:dyDescent="0.3">
      <c r="A249" s="53"/>
      <c r="C249" s="54" t="s">
        <v>145</v>
      </c>
      <c r="D249" s="54" t="s">
        <v>4</v>
      </c>
      <c r="F249" s="55">
        <v>8</v>
      </c>
      <c r="K249" s="56"/>
    </row>
    <row r="250" spans="1:76" ht="14.4" x14ac:dyDescent="0.3">
      <c r="A250" s="1" t="s">
        <v>454</v>
      </c>
      <c r="B250" s="2" t="s">
        <v>455</v>
      </c>
      <c r="C250" s="75" t="s">
        <v>456</v>
      </c>
      <c r="D250" s="70"/>
      <c r="E250" s="2" t="s">
        <v>278</v>
      </c>
      <c r="F250" s="50">
        <v>1</v>
      </c>
      <c r="G250" s="50">
        <v>0</v>
      </c>
      <c r="H250" s="50">
        <f>ROUND(F250*AO250,2)</f>
        <v>0</v>
      </c>
      <c r="I250" s="50">
        <f>ROUND(F250*AP250,2)</f>
        <v>0</v>
      </c>
      <c r="J250" s="50">
        <f>ROUND(F250*G250,2)</f>
        <v>0</v>
      </c>
      <c r="K250" s="51" t="s">
        <v>116</v>
      </c>
      <c r="Z250" s="50">
        <f>ROUND(IF(AQ250="5",BJ250,0),2)</f>
        <v>0</v>
      </c>
      <c r="AB250" s="50">
        <f>ROUND(IF(AQ250="1",BH250,0),2)</f>
        <v>0</v>
      </c>
      <c r="AC250" s="50">
        <f>ROUND(IF(AQ250="1",BI250,0),2)</f>
        <v>0</v>
      </c>
      <c r="AD250" s="50">
        <f>ROUND(IF(AQ250="7",BH250,0),2)</f>
        <v>0</v>
      </c>
      <c r="AE250" s="50">
        <f>ROUND(IF(AQ250="7",BI250,0),2)</f>
        <v>0</v>
      </c>
      <c r="AF250" s="50">
        <f>ROUND(IF(AQ250="2",BH250,0),2)</f>
        <v>0</v>
      </c>
      <c r="AG250" s="50">
        <f>ROUND(IF(AQ250="2",BI250,0),2)</f>
        <v>0</v>
      </c>
      <c r="AH250" s="50">
        <f>ROUND(IF(AQ250="0",BJ250,0),2)</f>
        <v>0</v>
      </c>
      <c r="AI250" s="32" t="s">
        <v>4</v>
      </c>
      <c r="AJ250" s="50">
        <f>IF(AN250=0,J250,0)</f>
        <v>0</v>
      </c>
      <c r="AK250" s="50">
        <f>IF(AN250=12,J250,0)</f>
        <v>0</v>
      </c>
      <c r="AL250" s="50">
        <f>IF(AN250=21,J250,0)</f>
        <v>0</v>
      </c>
      <c r="AN250" s="50">
        <v>21</v>
      </c>
      <c r="AO250" s="50">
        <f>G250*1</f>
        <v>0</v>
      </c>
      <c r="AP250" s="50">
        <f>G250*(1-1)</f>
        <v>0</v>
      </c>
      <c r="AQ250" s="52" t="s">
        <v>112</v>
      </c>
      <c r="AV250" s="50">
        <f>ROUND(AW250+AX250,2)</f>
        <v>0</v>
      </c>
      <c r="AW250" s="50">
        <f>ROUND(F250*AO250,2)</f>
        <v>0</v>
      </c>
      <c r="AX250" s="50">
        <f>ROUND(F250*AP250,2)</f>
        <v>0</v>
      </c>
      <c r="AY250" s="52" t="s">
        <v>439</v>
      </c>
      <c r="AZ250" s="52" t="s">
        <v>357</v>
      </c>
      <c r="BA250" s="32" t="s">
        <v>119</v>
      </c>
      <c r="BC250" s="50">
        <f>AW250+AX250</f>
        <v>0</v>
      </c>
      <c r="BD250" s="50">
        <f>G250/(100-BE250)*100</f>
        <v>0</v>
      </c>
      <c r="BE250" s="50">
        <v>0</v>
      </c>
      <c r="BF250" s="50">
        <f>250</f>
        <v>250</v>
      </c>
      <c r="BH250" s="50">
        <f>F250*AO250</f>
        <v>0</v>
      </c>
      <c r="BI250" s="50">
        <f>F250*AP250</f>
        <v>0</v>
      </c>
      <c r="BJ250" s="50">
        <f>F250*G250</f>
        <v>0</v>
      </c>
      <c r="BK250" s="50"/>
      <c r="BL250" s="50">
        <v>33</v>
      </c>
      <c r="BW250" s="50">
        <v>21</v>
      </c>
      <c r="BX250" s="3" t="s">
        <v>456</v>
      </c>
    </row>
    <row r="251" spans="1:76" ht="14.4" x14ac:dyDescent="0.3">
      <c r="A251" s="53"/>
      <c r="C251" s="54" t="s">
        <v>112</v>
      </c>
      <c r="D251" s="54" t="s">
        <v>4</v>
      </c>
      <c r="F251" s="55">
        <v>1</v>
      </c>
      <c r="K251" s="56"/>
    </row>
    <row r="252" spans="1:76" ht="14.4" x14ac:dyDescent="0.3">
      <c r="A252" s="1" t="s">
        <v>457</v>
      </c>
      <c r="B252" s="2" t="s">
        <v>458</v>
      </c>
      <c r="C252" s="75" t="s">
        <v>459</v>
      </c>
      <c r="D252" s="70"/>
      <c r="E252" s="2" t="s">
        <v>278</v>
      </c>
      <c r="F252" s="50">
        <v>8</v>
      </c>
      <c r="G252" s="50">
        <v>0</v>
      </c>
      <c r="H252" s="50">
        <f>ROUND(F252*AO252,2)</f>
        <v>0</v>
      </c>
      <c r="I252" s="50">
        <f>ROUND(F252*AP252,2)</f>
        <v>0</v>
      </c>
      <c r="J252" s="50">
        <f>ROUND(F252*G252,2)</f>
        <v>0</v>
      </c>
      <c r="K252" s="51" t="s">
        <v>116</v>
      </c>
      <c r="Z252" s="50">
        <f>ROUND(IF(AQ252="5",BJ252,0),2)</f>
        <v>0</v>
      </c>
      <c r="AB252" s="50">
        <f>ROUND(IF(AQ252="1",BH252,0),2)</f>
        <v>0</v>
      </c>
      <c r="AC252" s="50">
        <f>ROUND(IF(AQ252="1",BI252,0),2)</f>
        <v>0</v>
      </c>
      <c r="AD252" s="50">
        <f>ROUND(IF(AQ252="7",BH252,0),2)</f>
        <v>0</v>
      </c>
      <c r="AE252" s="50">
        <f>ROUND(IF(AQ252="7",BI252,0),2)</f>
        <v>0</v>
      </c>
      <c r="AF252" s="50">
        <f>ROUND(IF(AQ252="2",BH252,0),2)</f>
        <v>0</v>
      </c>
      <c r="AG252" s="50">
        <f>ROUND(IF(AQ252="2",BI252,0),2)</f>
        <v>0</v>
      </c>
      <c r="AH252" s="50">
        <f>ROUND(IF(AQ252="0",BJ252,0),2)</f>
        <v>0</v>
      </c>
      <c r="AI252" s="32" t="s">
        <v>4</v>
      </c>
      <c r="AJ252" s="50">
        <f>IF(AN252=0,J252,0)</f>
        <v>0</v>
      </c>
      <c r="AK252" s="50">
        <f>IF(AN252=12,J252,0)</f>
        <v>0</v>
      </c>
      <c r="AL252" s="50">
        <f>IF(AN252=21,J252,0)</f>
        <v>0</v>
      </c>
      <c r="AN252" s="50">
        <v>21</v>
      </c>
      <c r="AO252" s="50">
        <f>G252*1</f>
        <v>0</v>
      </c>
      <c r="AP252" s="50">
        <f>G252*(1-1)</f>
        <v>0</v>
      </c>
      <c r="AQ252" s="52" t="s">
        <v>112</v>
      </c>
      <c r="AV252" s="50">
        <f>ROUND(AW252+AX252,2)</f>
        <v>0</v>
      </c>
      <c r="AW252" s="50">
        <f>ROUND(F252*AO252,2)</f>
        <v>0</v>
      </c>
      <c r="AX252" s="50">
        <f>ROUND(F252*AP252,2)</f>
        <v>0</v>
      </c>
      <c r="AY252" s="52" t="s">
        <v>439</v>
      </c>
      <c r="AZ252" s="52" t="s">
        <v>357</v>
      </c>
      <c r="BA252" s="32" t="s">
        <v>119</v>
      </c>
      <c r="BC252" s="50">
        <f>AW252+AX252</f>
        <v>0</v>
      </c>
      <c r="BD252" s="50">
        <f>G252/(100-BE252)*100</f>
        <v>0</v>
      </c>
      <c r="BE252" s="50">
        <v>0</v>
      </c>
      <c r="BF252" s="50">
        <f>252</f>
        <v>252</v>
      </c>
      <c r="BH252" s="50">
        <f>F252*AO252</f>
        <v>0</v>
      </c>
      <c r="BI252" s="50">
        <f>F252*AP252</f>
        <v>0</v>
      </c>
      <c r="BJ252" s="50">
        <f>F252*G252</f>
        <v>0</v>
      </c>
      <c r="BK252" s="50"/>
      <c r="BL252" s="50">
        <v>33</v>
      </c>
      <c r="BW252" s="50">
        <v>21</v>
      </c>
      <c r="BX252" s="3" t="s">
        <v>459</v>
      </c>
    </row>
    <row r="253" spans="1:76" ht="14.4" x14ac:dyDescent="0.3">
      <c r="A253" s="53"/>
      <c r="C253" s="54" t="s">
        <v>145</v>
      </c>
      <c r="D253" s="54" t="s">
        <v>4</v>
      </c>
      <c r="F253" s="55">
        <v>8</v>
      </c>
      <c r="K253" s="56"/>
    </row>
    <row r="254" spans="1:76" ht="14.4" x14ac:dyDescent="0.3">
      <c r="A254" s="46" t="s">
        <v>4</v>
      </c>
      <c r="B254" s="47" t="s">
        <v>296</v>
      </c>
      <c r="C254" s="148" t="s">
        <v>460</v>
      </c>
      <c r="D254" s="149"/>
      <c r="E254" s="48" t="s">
        <v>74</v>
      </c>
      <c r="F254" s="48" t="s">
        <v>74</v>
      </c>
      <c r="G254" s="48" t="s">
        <v>74</v>
      </c>
      <c r="H254" s="26">
        <f>SUM(H255:H279)</f>
        <v>0</v>
      </c>
      <c r="I254" s="26">
        <f>SUM(I255:I279)</f>
        <v>0</v>
      </c>
      <c r="J254" s="26">
        <f>SUM(J255:J279)</f>
        <v>0</v>
      </c>
      <c r="K254" s="49" t="s">
        <v>4</v>
      </c>
      <c r="AI254" s="32" t="s">
        <v>4</v>
      </c>
      <c r="AS254" s="26">
        <f>SUM(AJ255:AJ279)</f>
        <v>0</v>
      </c>
      <c r="AT254" s="26">
        <f>SUM(AK255:AK279)</f>
        <v>0</v>
      </c>
      <c r="AU254" s="26">
        <f>SUM(AL255:AL279)</f>
        <v>0</v>
      </c>
    </row>
    <row r="255" spans="1:76" ht="14.4" x14ac:dyDescent="0.3">
      <c r="A255" s="1" t="s">
        <v>461</v>
      </c>
      <c r="B255" s="2" t="s">
        <v>462</v>
      </c>
      <c r="C255" s="75" t="s">
        <v>463</v>
      </c>
      <c r="D255" s="70"/>
      <c r="E255" s="2" t="s">
        <v>216</v>
      </c>
      <c r="F255" s="50">
        <v>14.7075</v>
      </c>
      <c r="G255" s="50">
        <v>0</v>
      </c>
      <c r="H255" s="50">
        <f>ROUND(F255*AO255,2)</f>
        <v>0</v>
      </c>
      <c r="I255" s="50">
        <f>ROUND(F255*AP255,2)</f>
        <v>0</v>
      </c>
      <c r="J255" s="50">
        <f>ROUND(F255*G255,2)</f>
        <v>0</v>
      </c>
      <c r="K255" s="51" t="s">
        <v>116</v>
      </c>
      <c r="Z255" s="50">
        <f>ROUND(IF(AQ255="5",BJ255,0),2)</f>
        <v>0</v>
      </c>
      <c r="AB255" s="50">
        <f>ROUND(IF(AQ255="1",BH255,0),2)</f>
        <v>0</v>
      </c>
      <c r="AC255" s="50">
        <f>ROUND(IF(AQ255="1",BI255,0),2)</f>
        <v>0</v>
      </c>
      <c r="AD255" s="50">
        <f>ROUND(IF(AQ255="7",BH255,0),2)</f>
        <v>0</v>
      </c>
      <c r="AE255" s="50">
        <f>ROUND(IF(AQ255="7",BI255,0),2)</f>
        <v>0</v>
      </c>
      <c r="AF255" s="50">
        <f>ROUND(IF(AQ255="2",BH255,0),2)</f>
        <v>0</v>
      </c>
      <c r="AG255" s="50">
        <f>ROUND(IF(AQ255="2",BI255,0),2)</f>
        <v>0</v>
      </c>
      <c r="AH255" s="50">
        <f>ROUND(IF(AQ255="0",BJ255,0),2)</f>
        <v>0</v>
      </c>
      <c r="AI255" s="32" t="s">
        <v>4</v>
      </c>
      <c r="AJ255" s="50">
        <f>IF(AN255=0,J255,0)</f>
        <v>0</v>
      </c>
      <c r="AK255" s="50">
        <f>IF(AN255=12,J255,0)</f>
        <v>0</v>
      </c>
      <c r="AL255" s="50">
        <f>IF(AN255=21,J255,0)</f>
        <v>0</v>
      </c>
      <c r="AN255" s="50">
        <v>21</v>
      </c>
      <c r="AO255" s="50">
        <f>G255*0.716147803</f>
        <v>0</v>
      </c>
      <c r="AP255" s="50">
        <f>G255*(1-0.716147803)</f>
        <v>0</v>
      </c>
      <c r="AQ255" s="52" t="s">
        <v>112</v>
      </c>
      <c r="AV255" s="50">
        <f>ROUND(AW255+AX255,2)</f>
        <v>0</v>
      </c>
      <c r="AW255" s="50">
        <f>ROUND(F255*AO255,2)</f>
        <v>0</v>
      </c>
      <c r="AX255" s="50">
        <f>ROUND(F255*AP255,2)</f>
        <v>0</v>
      </c>
      <c r="AY255" s="52" t="s">
        <v>464</v>
      </c>
      <c r="AZ255" s="52" t="s">
        <v>357</v>
      </c>
      <c r="BA255" s="32" t="s">
        <v>119</v>
      </c>
      <c r="BC255" s="50">
        <f>AW255+AX255</f>
        <v>0</v>
      </c>
      <c r="BD255" s="50">
        <f>G255/(100-BE255)*100</f>
        <v>0</v>
      </c>
      <c r="BE255" s="50">
        <v>0</v>
      </c>
      <c r="BF255" s="50">
        <f>255</f>
        <v>255</v>
      </c>
      <c r="BH255" s="50">
        <f>F255*AO255</f>
        <v>0</v>
      </c>
      <c r="BI255" s="50">
        <f>F255*AP255</f>
        <v>0</v>
      </c>
      <c r="BJ255" s="50">
        <f>F255*G255</f>
        <v>0</v>
      </c>
      <c r="BK255" s="50"/>
      <c r="BL255" s="50">
        <v>34</v>
      </c>
      <c r="BW255" s="50">
        <v>21</v>
      </c>
      <c r="BX255" s="3" t="s">
        <v>463</v>
      </c>
    </row>
    <row r="256" spans="1:76" ht="14.4" x14ac:dyDescent="0.3">
      <c r="A256" s="53"/>
      <c r="C256" s="54" t="s">
        <v>465</v>
      </c>
      <c r="D256" s="54" t="s">
        <v>4</v>
      </c>
      <c r="F256" s="55">
        <v>18.362500000000001</v>
      </c>
      <c r="K256" s="56"/>
    </row>
    <row r="257" spans="1:76" ht="14.4" x14ac:dyDescent="0.3">
      <c r="A257" s="53"/>
      <c r="C257" s="54" t="s">
        <v>466</v>
      </c>
      <c r="D257" s="54" t="s">
        <v>4</v>
      </c>
      <c r="F257" s="55">
        <v>-1.9350000000000001</v>
      </c>
      <c r="K257" s="56"/>
    </row>
    <row r="258" spans="1:76" ht="14.4" x14ac:dyDescent="0.3">
      <c r="A258" s="53"/>
      <c r="C258" s="54" t="s">
        <v>467</v>
      </c>
      <c r="D258" s="54" t="s">
        <v>4</v>
      </c>
      <c r="F258" s="55">
        <v>-1.72</v>
      </c>
      <c r="K258" s="56"/>
    </row>
    <row r="259" spans="1:76" ht="14.4" x14ac:dyDescent="0.3">
      <c r="A259" s="1" t="s">
        <v>468</v>
      </c>
      <c r="B259" s="2" t="s">
        <v>469</v>
      </c>
      <c r="C259" s="75" t="s">
        <v>470</v>
      </c>
      <c r="D259" s="70"/>
      <c r="E259" s="2" t="s">
        <v>216</v>
      </c>
      <c r="F259" s="50">
        <v>31.637499999999999</v>
      </c>
      <c r="G259" s="50">
        <v>0</v>
      </c>
      <c r="H259" s="50">
        <f>ROUND(F259*AO259,2)</f>
        <v>0</v>
      </c>
      <c r="I259" s="50">
        <f>ROUND(F259*AP259,2)</f>
        <v>0</v>
      </c>
      <c r="J259" s="50">
        <f>ROUND(F259*G259,2)</f>
        <v>0</v>
      </c>
      <c r="K259" s="51" t="s">
        <v>116</v>
      </c>
      <c r="Z259" s="50">
        <f>ROUND(IF(AQ259="5",BJ259,0),2)</f>
        <v>0</v>
      </c>
      <c r="AB259" s="50">
        <f>ROUND(IF(AQ259="1",BH259,0),2)</f>
        <v>0</v>
      </c>
      <c r="AC259" s="50">
        <f>ROUND(IF(AQ259="1",BI259,0),2)</f>
        <v>0</v>
      </c>
      <c r="AD259" s="50">
        <f>ROUND(IF(AQ259="7",BH259,0),2)</f>
        <v>0</v>
      </c>
      <c r="AE259" s="50">
        <f>ROUND(IF(AQ259="7",BI259,0),2)</f>
        <v>0</v>
      </c>
      <c r="AF259" s="50">
        <f>ROUND(IF(AQ259="2",BH259,0),2)</f>
        <v>0</v>
      </c>
      <c r="AG259" s="50">
        <f>ROUND(IF(AQ259="2",BI259,0),2)</f>
        <v>0</v>
      </c>
      <c r="AH259" s="50">
        <f>ROUND(IF(AQ259="0",BJ259,0),2)</f>
        <v>0</v>
      </c>
      <c r="AI259" s="32" t="s">
        <v>4</v>
      </c>
      <c r="AJ259" s="50">
        <f>IF(AN259=0,J259,0)</f>
        <v>0</v>
      </c>
      <c r="AK259" s="50">
        <f>IF(AN259=12,J259,0)</f>
        <v>0</v>
      </c>
      <c r="AL259" s="50">
        <f>IF(AN259=21,J259,0)</f>
        <v>0</v>
      </c>
      <c r="AN259" s="50">
        <v>21</v>
      </c>
      <c r="AO259" s="50">
        <f>G259*0.69758248</f>
        <v>0</v>
      </c>
      <c r="AP259" s="50">
        <f>G259*(1-0.69758248)</f>
        <v>0</v>
      </c>
      <c r="AQ259" s="52" t="s">
        <v>112</v>
      </c>
      <c r="AV259" s="50">
        <f>ROUND(AW259+AX259,2)</f>
        <v>0</v>
      </c>
      <c r="AW259" s="50">
        <f>ROUND(F259*AO259,2)</f>
        <v>0</v>
      </c>
      <c r="AX259" s="50">
        <f>ROUND(F259*AP259,2)</f>
        <v>0</v>
      </c>
      <c r="AY259" s="52" t="s">
        <v>464</v>
      </c>
      <c r="AZ259" s="52" t="s">
        <v>357</v>
      </c>
      <c r="BA259" s="32" t="s">
        <v>119</v>
      </c>
      <c r="BC259" s="50">
        <f>AW259+AX259</f>
        <v>0</v>
      </c>
      <c r="BD259" s="50">
        <f>G259/(100-BE259)*100</f>
        <v>0</v>
      </c>
      <c r="BE259" s="50">
        <v>0</v>
      </c>
      <c r="BF259" s="50">
        <f>259</f>
        <v>259</v>
      </c>
      <c r="BH259" s="50">
        <f>F259*AO259</f>
        <v>0</v>
      </c>
      <c r="BI259" s="50">
        <f>F259*AP259</f>
        <v>0</v>
      </c>
      <c r="BJ259" s="50">
        <f>F259*G259</f>
        <v>0</v>
      </c>
      <c r="BK259" s="50"/>
      <c r="BL259" s="50">
        <v>34</v>
      </c>
      <c r="BW259" s="50">
        <v>21</v>
      </c>
      <c r="BX259" s="3" t="s">
        <v>470</v>
      </c>
    </row>
    <row r="260" spans="1:76" ht="14.4" x14ac:dyDescent="0.3">
      <c r="A260" s="53"/>
      <c r="C260" s="54" t="s">
        <v>471</v>
      </c>
      <c r="D260" s="54" t="s">
        <v>4</v>
      </c>
      <c r="F260" s="55">
        <v>39.162500000000001</v>
      </c>
      <c r="K260" s="56"/>
    </row>
    <row r="261" spans="1:76" ht="14.4" x14ac:dyDescent="0.3">
      <c r="A261" s="53"/>
      <c r="C261" s="54" t="s">
        <v>371</v>
      </c>
      <c r="D261" s="54" t="s">
        <v>4</v>
      </c>
      <c r="F261" s="55">
        <v>-5.8049999999999997</v>
      </c>
      <c r="K261" s="56"/>
    </row>
    <row r="262" spans="1:76" ht="14.4" x14ac:dyDescent="0.3">
      <c r="A262" s="53"/>
      <c r="C262" s="54" t="s">
        <v>467</v>
      </c>
      <c r="D262" s="54" t="s">
        <v>4</v>
      </c>
      <c r="F262" s="55">
        <v>-1.72</v>
      </c>
      <c r="K262" s="56"/>
    </row>
    <row r="263" spans="1:76" ht="14.4" x14ac:dyDescent="0.3">
      <c r="A263" s="1" t="s">
        <v>472</v>
      </c>
      <c r="B263" s="2" t="s">
        <v>473</v>
      </c>
      <c r="C263" s="75" t="s">
        <v>474</v>
      </c>
      <c r="D263" s="70"/>
      <c r="E263" s="2" t="s">
        <v>216</v>
      </c>
      <c r="F263" s="50">
        <v>86.168000000000006</v>
      </c>
      <c r="G263" s="50">
        <v>0</v>
      </c>
      <c r="H263" s="50">
        <f>ROUND(F263*AO263,2)</f>
        <v>0</v>
      </c>
      <c r="I263" s="50">
        <f>ROUND(F263*AP263,2)</f>
        <v>0</v>
      </c>
      <c r="J263" s="50">
        <f>ROUND(F263*G263,2)</f>
        <v>0</v>
      </c>
      <c r="K263" s="51" t="s">
        <v>116</v>
      </c>
      <c r="Z263" s="50">
        <f>ROUND(IF(AQ263="5",BJ263,0),2)</f>
        <v>0</v>
      </c>
      <c r="AB263" s="50">
        <f>ROUND(IF(AQ263="1",BH263,0),2)</f>
        <v>0</v>
      </c>
      <c r="AC263" s="50">
        <f>ROUND(IF(AQ263="1",BI263,0),2)</f>
        <v>0</v>
      </c>
      <c r="AD263" s="50">
        <f>ROUND(IF(AQ263="7",BH263,0),2)</f>
        <v>0</v>
      </c>
      <c r="AE263" s="50">
        <f>ROUND(IF(AQ263="7",BI263,0),2)</f>
        <v>0</v>
      </c>
      <c r="AF263" s="50">
        <f>ROUND(IF(AQ263="2",BH263,0),2)</f>
        <v>0</v>
      </c>
      <c r="AG263" s="50">
        <f>ROUND(IF(AQ263="2",BI263,0),2)</f>
        <v>0</v>
      </c>
      <c r="AH263" s="50">
        <f>ROUND(IF(AQ263="0",BJ263,0),2)</f>
        <v>0</v>
      </c>
      <c r="AI263" s="32" t="s">
        <v>4</v>
      </c>
      <c r="AJ263" s="50">
        <f>IF(AN263=0,J263,0)</f>
        <v>0</v>
      </c>
      <c r="AK263" s="50">
        <f>IF(AN263=12,J263,0)</f>
        <v>0</v>
      </c>
      <c r="AL263" s="50">
        <f>IF(AN263=21,J263,0)</f>
        <v>0</v>
      </c>
      <c r="AN263" s="50">
        <v>21</v>
      </c>
      <c r="AO263" s="50">
        <f>G263*0.354246681</f>
        <v>0</v>
      </c>
      <c r="AP263" s="50">
        <f>G263*(1-0.354246681)</f>
        <v>0</v>
      </c>
      <c r="AQ263" s="52" t="s">
        <v>112</v>
      </c>
      <c r="AV263" s="50">
        <f>ROUND(AW263+AX263,2)</f>
        <v>0</v>
      </c>
      <c r="AW263" s="50">
        <f>ROUND(F263*AO263,2)</f>
        <v>0</v>
      </c>
      <c r="AX263" s="50">
        <f>ROUND(F263*AP263,2)</f>
        <v>0</v>
      </c>
      <c r="AY263" s="52" t="s">
        <v>464</v>
      </c>
      <c r="AZ263" s="52" t="s">
        <v>357</v>
      </c>
      <c r="BA263" s="32" t="s">
        <v>119</v>
      </c>
      <c r="BC263" s="50">
        <f>AW263+AX263</f>
        <v>0</v>
      </c>
      <c r="BD263" s="50">
        <f>G263/(100-BE263)*100</f>
        <v>0</v>
      </c>
      <c r="BE263" s="50">
        <v>0</v>
      </c>
      <c r="BF263" s="50">
        <f>263</f>
        <v>263</v>
      </c>
      <c r="BH263" s="50">
        <f>F263*AO263</f>
        <v>0</v>
      </c>
      <c r="BI263" s="50">
        <f>F263*AP263</f>
        <v>0</v>
      </c>
      <c r="BJ263" s="50">
        <f>F263*G263</f>
        <v>0</v>
      </c>
      <c r="BK263" s="50"/>
      <c r="BL263" s="50">
        <v>34</v>
      </c>
      <c r="BW263" s="50">
        <v>21</v>
      </c>
      <c r="BX263" s="3" t="s">
        <v>474</v>
      </c>
    </row>
    <row r="264" spans="1:76" ht="13.5" customHeight="1" x14ac:dyDescent="0.3">
      <c r="A264" s="53"/>
      <c r="B264" s="57" t="s">
        <v>198</v>
      </c>
      <c r="C264" s="150" t="s">
        <v>475</v>
      </c>
      <c r="D264" s="151"/>
      <c r="E264" s="151"/>
      <c r="F264" s="151"/>
      <c r="G264" s="151"/>
      <c r="H264" s="151"/>
      <c r="I264" s="151"/>
      <c r="J264" s="151"/>
      <c r="K264" s="152"/>
    </row>
    <row r="265" spans="1:76" ht="14.4" x14ac:dyDescent="0.3">
      <c r="A265" s="53"/>
      <c r="C265" s="54" t="s">
        <v>476</v>
      </c>
      <c r="D265" s="54" t="s">
        <v>4</v>
      </c>
      <c r="F265" s="55">
        <v>49.78</v>
      </c>
      <c r="K265" s="56"/>
    </row>
    <row r="266" spans="1:76" ht="14.4" x14ac:dyDescent="0.3">
      <c r="A266" s="53"/>
      <c r="C266" s="54" t="s">
        <v>477</v>
      </c>
      <c r="D266" s="54" t="s">
        <v>4</v>
      </c>
      <c r="F266" s="55">
        <v>6.46</v>
      </c>
      <c r="K266" s="56"/>
    </row>
    <row r="267" spans="1:76" ht="14.4" x14ac:dyDescent="0.3">
      <c r="A267" s="53"/>
      <c r="C267" s="54" t="s">
        <v>478</v>
      </c>
      <c r="D267" s="54" t="s">
        <v>4</v>
      </c>
      <c r="F267" s="55">
        <v>15.96</v>
      </c>
      <c r="K267" s="56"/>
    </row>
    <row r="268" spans="1:76" ht="14.4" x14ac:dyDescent="0.3">
      <c r="A268" s="53"/>
      <c r="C268" s="54" t="s">
        <v>479</v>
      </c>
      <c r="D268" s="54" t="s">
        <v>4</v>
      </c>
      <c r="F268" s="55">
        <v>19.8</v>
      </c>
      <c r="K268" s="56"/>
    </row>
    <row r="269" spans="1:76" ht="14.4" x14ac:dyDescent="0.3">
      <c r="A269" s="53"/>
      <c r="C269" s="54" t="s">
        <v>480</v>
      </c>
      <c r="D269" s="54" t="s">
        <v>4</v>
      </c>
      <c r="F269" s="55">
        <v>-5.4720000000000004</v>
      </c>
      <c r="K269" s="56"/>
    </row>
    <row r="270" spans="1:76" ht="14.4" x14ac:dyDescent="0.3">
      <c r="A270" s="53"/>
      <c r="C270" s="54" t="s">
        <v>481</v>
      </c>
      <c r="D270" s="54" t="s">
        <v>4</v>
      </c>
      <c r="F270" s="55">
        <v>-0.36</v>
      </c>
      <c r="K270" s="56"/>
    </row>
    <row r="271" spans="1:76" ht="14.4" x14ac:dyDescent="0.3">
      <c r="A271" s="1" t="s">
        <v>482</v>
      </c>
      <c r="B271" s="2" t="s">
        <v>483</v>
      </c>
      <c r="C271" s="75" t="s">
        <v>484</v>
      </c>
      <c r="D271" s="70"/>
      <c r="E271" s="2" t="s">
        <v>216</v>
      </c>
      <c r="F271" s="50">
        <v>3.96</v>
      </c>
      <c r="G271" s="50">
        <v>0</v>
      </c>
      <c r="H271" s="50">
        <f>ROUND(F271*AO271,2)</f>
        <v>0</v>
      </c>
      <c r="I271" s="50">
        <f>ROUND(F271*AP271,2)</f>
        <v>0</v>
      </c>
      <c r="J271" s="50">
        <f>ROUND(F271*G271,2)</f>
        <v>0</v>
      </c>
      <c r="K271" s="51" t="s">
        <v>116</v>
      </c>
      <c r="Z271" s="50">
        <f>ROUND(IF(AQ271="5",BJ271,0),2)</f>
        <v>0</v>
      </c>
      <c r="AB271" s="50">
        <f>ROUND(IF(AQ271="1",BH271,0),2)</f>
        <v>0</v>
      </c>
      <c r="AC271" s="50">
        <f>ROUND(IF(AQ271="1",BI271,0),2)</f>
        <v>0</v>
      </c>
      <c r="AD271" s="50">
        <f>ROUND(IF(AQ271="7",BH271,0),2)</f>
        <v>0</v>
      </c>
      <c r="AE271" s="50">
        <f>ROUND(IF(AQ271="7",BI271,0),2)</f>
        <v>0</v>
      </c>
      <c r="AF271" s="50">
        <f>ROUND(IF(AQ271="2",BH271,0),2)</f>
        <v>0</v>
      </c>
      <c r="AG271" s="50">
        <f>ROUND(IF(AQ271="2",BI271,0),2)</f>
        <v>0</v>
      </c>
      <c r="AH271" s="50">
        <f>ROUND(IF(AQ271="0",BJ271,0),2)</f>
        <v>0</v>
      </c>
      <c r="AI271" s="32" t="s">
        <v>4</v>
      </c>
      <c r="AJ271" s="50">
        <f>IF(AN271=0,J271,0)</f>
        <v>0</v>
      </c>
      <c r="AK271" s="50">
        <f>IF(AN271=12,J271,0)</f>
        <v>0</v>
      </c>
      <c r="AL271" s="50">
        <f>IF(AN271=21,J271,0)</f>
        <v>0</v>
      </c>
      <c r="AN271" s="50">
        <v>21</v>
      </c>
      <c r="AO271" s="50">
        <f>G271*0.398207825</f>
        <v>0</v>
      </c>
      <c r="AP271" s="50">
        <f>G271*(1-0.398207825)</f>
        <v>0</v>
      </c>
      <c r="AQ271" s="52" t="s">
        <v>112</v>
      </c>
      <c r="AV271" s="50">
        <f>ROUND(AW271+AX271,2)</f>
        <v>0</v>
      </c>
      <c r="AW271" s="50">
        <f>ROUND(F271*AO271,2)</f>
        <v>0</v>
      </c>
      <c r="AX271" s="50">
        <f>ROUND(F271*AP271,2)</f>
        <v>0</v>
      </c>
      <c r="AY271" s="52" t="s">
        <v>464</v>
      </c>
      <c r="AZ271" s="52" t="s">
        <v>357</v>
      </c>
      <c r="BA271" s="32" t="s">
        <v>119</v>
      </c>
      <c r="BC271" s="50">
        <f>AW271+AX271</f>
        <v>0</v>
      </c>
      <c r="BD271" s="50">
        <f>G271/(100-BE271)*100</f>
        <v>0</v>
      </c>
      <c r="BE271" s="50">
        <v>0</v>
      </c>
      <c r="BF271" s="50">
        <f>271</f>
        <v>271</v>
      </c>
      <c r="BH271" s="50">
        <f>F271*AO271</f>
        <v>0</v>
      </c>
      <c r="BI271" s="50">
        <f>F271*AP271</f>
        <v>0</v>
      </c>
      <c r="BJ271" s="50">
        <f>F271*G271</f>
        <v>0</v>
      </c>
      <c r="BK271" s="50"/>
      <c r="BL271" s="50">
        <v>34</v>
      </c>
      <c r="BW271" s="50">
        <v>21</v>
      </c>
      <c r="BX271" s="3" t="s">
        <v>484</v>
      </c>
    </row>
    <row r="272" spans="1:76" ht="13.5" customHeight="1" x14ac:dyDescent="0.3">
      <c r="A272" s="53"/>
      <c r="B272" s="57" t="s">
        <v>198</v>
      </c>
      <c r="C272" s="150" t="s">
        <v>485</v>
      </c>
      <c r="D272" s="151"/>
      <c r="E272" s="151"/>
      <c r="F272" s="151"/>
      <c r="G272" s="151"/>
      <c r="H272" s="151"/>
      <c r="I272" s="151"/>
      <c r="J272" s="151"/>
      <c r="K272" s="152"/>
    </row>
    <row r="273" spans="1:76" ht="14.4" x14ac:dyDescent="0.3">
      <c r="A273" s="53"/>
      <c r="C273" s="54" t="s">
        <v>486</v>
      </c>
      <c r="D273" s="54" t="s">
        <v>4</v>
      </c>
      <c r="F273" s="55">
        <v>3.96</v>
      </c>
      <c r="K273" s="56"/>
    </row>
    <row r="274" spans="1:76" ht="14.4" x14ac:dyDescent="0.3">
      <c r="A274" s="1" t="s">
        <v>487</v>
      </c>
      <c r="B274" s="2" t="s">
        <v>488</v>
      </c>
      <c r="C274" s="75" t="s">
        <v>489</v>
      </c>
      <c r="D274" s="70"/>
      <c r="E274" s="2" t="s">
        <v>278</v>
      </c>
      <c r="F274" s="50">
        <v>3</v>
      </c>
      <c r="G274" s="50">
        <v>0</v>
      </c>
      <c r="H274" s="50">
        <f>ROUND(F274*AO274,2)</f>
        <v>0</v>
      </c>
      <c r="I274" s="50">
        <f>ROUND(F274*AP274,2)</f>
        <v>0</v>
      </c>
      <c r="J274" s="50">
        <f>ROUND(F274*G274,2)</f>
        <v>0</v>
      </c>
      <c r="K274" s="51" t="s">
        <v>116</v>
      </c>
      <c r="Z274" s="50">
        <f>ROUND(IF(AQ274="5",BJ274,0),2)</f>
        <v>0</v>
      </c>
      <c r="AB274" s="50">
        <f>ROUND(IF(AQ274="1",BH274,0),2)</f>
        <v>0</v>
      </c>
      <c r="AC274" s="50">
        <f>ROUND(IF(AQ274="1",BI274,0),2)</f>
        <v>0</v>
      </c>
      <c r="AD274" s="50">
        <f>ROUND(IF(AQ274="7",BH274,0),2)</f>
        <v>0</v>
      </c>
      <c r="AE274" s="50">
        <f>ROUND(IF(AQ274="7",BI274,0),2)</f>
        <v>0</v>
      </c>
      <c r="AF274" s="50">
        <f>ROUND(IF(AQ274="2",BH274,0),2)</f>
        <v>0</v>
      </c>
      <c r="AG274" s="50">
        <f>ROUND(IF(AQ274="2",BI274,0),2)</f>
        <v>0</v>
      </c>
      <c r="AH274" s="50">
        <f>ROUND(IF(AQ274="0",BJ274,0),2)</f>
        <v>0</v>
      </c>
      <c r="AI274" s="32" t="s">
        <v>4</v>
      </c>
      <c r="AJ274" s="50">
        <f>IF(AN274=0,J274,0)</f>
        <v>0</v>
      </c>
      <c r="AK274" s="50">
        <f>IF(AN274=12,J274,0)</f>
        <v>0</v>
      </c>
      <c r="AL274" s="50">
        <f>IF(AN274=21,J274,0)</f>
        <v>0</v>
      </c>
      <c r="AN274" s="50">
        <v>21</v>
      </c>
      <c r="AO274" s="50">
        <f>G274*0</f>
        <v>0</v>
      </c>
      <c r="AP274" s="50">
        <f>G274*(1-0)</f>
        <v>0</v>
      </c>
      <c r="AQ274" s="52" t="s">
        <v>112</v>
      </c>
      <c r="AV274" s="50">
        <f>ROUND(AW274+AX274,2)</f>
        <v>0</v>
      </c>
      <c r="AW274" s="50">
        <f>ROUND(F274*AO274,2)</f>
        <v>0</v>
      </c>
      <c r="AX274" s="50">
        <f>ROUND(F274*AP274,2)</f>
        <v>0</v>
      </c>
      <c r="AY274" s="52" t="s">
        <v>464</v>
      </c>
      <c r="AZ274" s="52" t="s">
        <v>357</v>
      </c>
      <c r="BA274" s="32" t="s">
        <v>119</v>
      </c>
      <c r="BC274" s="50">
        <f>AW274+AX274</f>
        <v>0</v>
      </c>
      <c r="BD274" s="50">
        <f>G274/(100-BE274)*100</f>
        <v>0</v>
      </c>
      <c r="BE274" s="50">
        <v>0</v>
      </c>
      <c r="BF274" s="50">
        <f>274</f>
        <v>274</v>
      </c>
      <c r="BH274" s="50">
        <f>F274*AO274</f>
        <v>0</v>
      </c>
      <c r="BI274" s="50">
        <f>F274*AP274</f>
        <v>0</v>
      </c>
      <c r="BJ274" s="50">
        <f>F274*G274</f>
        <v>0</v>
      </c>
      <c r="BK274" s="50"/>
      <c r="BL274" s="50">
        <v>34</v>
      </c>
      <c r="BW274" s="50">
        <v>21</v>
      </c>
      <c r="BX274" s="3" t="s">
        <v>489</v>
      </c>
    </row>
    <row r="275" spans="1:76" ht="14.4" x14ac:dyDescent="0.3">
      <c r="A275" s="53"/>
      <c r="C275" s="54" t="s">
        <v>135</v>
      </c>
      <c r="D275" s="54" t="s">
        <v>4</v>
      </c>
      <c r="F275" s="55">
        <v>3</v>
      </c>
      <c r="K275" s="56"/>
    </row>
    <row r="276" spans="1:76" ht="14.4" x14ac:dyDescent="0.3">
      <c r="A276" s="1" t="s">
        <v>490</v>
      </c>
      <c r="B276" s="2" t="s">
        <v>491</v>
      </c>
      <c r="C276" s="75" t="s">
        <v>492</v>
      </c>
      <c r="D276" s="70"/>
      <c r="E276" s="2" t="s">
        <v>216</v>
      </c>
      <c r="F276" s="50">
        <v>3.96</v>
      </c>
      <c r="G276" s="50">
        <v>0</v>
      </c>
      <c r="H276" s="50">
        <f>ROUND(F276*AO276,2)</f>
        <v>0</v>
      </c>
      <c r="I276" s="50">
        <f>ROUND(F276*AP276,2)</f>
        <v>0</v>
      </c>
      <c r="J276" s="50">
        <f>ROUND(F276*G276,2)</f>
        <v>0</v>
      </c>
      <c r="K276" s="51" t="s">
        <v>116</v>
      </c>
      <c r="Z276" s="50">
        <f>ROUND(IF(AQ276="5",BJ276,0),2)</f>
        <v>0</v>
      </c>
      <c r="AB276" s="50">
        <f>ROUND(IF(AQ276="1",BH276,0),2)</f>
        <v>0</v>
      </c>
      <c r="AC276" s="50">
        <f>ROUND(IF(AQ276="1",BI276,0),2)</f>
        <v>0</v>
      </c>
      <c r="AD276" s="50">
        <f>ROUND(IF(AQ276="7",BH276,0),2)</f>
        <v>0</v>
      </c>
      <c r="AE276" s="50">
        <f>ROUND(IF(AQ276="7",BI276,0),2)</f>
        <v>0</v>
      </c>
      <c r="AF276" s="50">
        <f>ROUND(IF(AQ276="2",BH276,0),2)</f>
        <v>0</v>
      </c>
      <c r="AG276" s="50">
        <f>ROUND(IF(AQ276="2",BI276,0),2)</f>
        <v>0</v>
      </c>
      <c r="AH276" s="50">
        <f>ROUND(IF(AQ276="0",BJ276,0),2)</f>
        <v>0</v>
      </c>
      <c r="AI276" s="32" t="s">
        <v>4</v>
      </c>
      <c r="AJ276" s="50">
        <f>IF(AN276=0,J276,0)</f>
        <v>0</v>
      </c>
      <c r="AK276" s="50">
        <f>IF(AN276=12,J276,0)</f>
        <v>0</v>
      </c>
      <c r="AL276" s="50">
        <f>IF(AN276=21,J276,0)</f>
        <v>0</v>
      </c>
      <c r="AN276" s="50">
        <v>21</v>
      </c>
      <c r="AO276" s="50">
        <f>G276*0</f>
        <v>0</v>
      </c>
      <c r="AP276" s="50">
        <f>G276*(1-0)</f>
        <v>0</v>
      </c>
      <c r="AQ276" s="52" t="s">
        <v>112</v>
      </c>
      <c r="AV276" s="50">
        <f>ROUND(AW276+AX276,2)</f>
        <v>0</v>
      </c>
      <c r="AW276" s="50">
        <f>ROUND(F276*AO276,2)</f>
        <v>0</v>
      </c>
      <c r="AX276" s="50">
        <f>ROUND(F276*AP276,2)</f>
        <v>0</v>
      </c>
      <c r="AY276" s="52" t="s">
        <v>464</v>
      </c>
      <c r="AZ276" s="52" t="s">
        <v>357</v>
      </c>
      <c r="BA276" s="32" t="s">
        <v>119</v>
      </c>
      <c r="BC276" s="50">
        <f>AW276+AX276</f>
        <v>0</v>
      </c>
      <c r="BD276" s="50">
        <f>G276/(100-BE276)*100</f>
        <v>0</v>
      </c>
      <c r="BE276" s="50">
        <v>0</v>
      </c>
      <c r="BF276" s="50">
        <f>276</f>
        <v>276</v>
      </c>
      <c r="BH276" s="50">
        <f>F276*AO276</f>
        <v>0</v>
      </c>
      <c r="BI276" s="50">
        <f>F276*AP276</f>
        <v>0</v>
      </c>
      <c r="BJ276" s="50">
        <f>F276*G276</f>
        <v>0</v>
      </c>
      <c r="BK276" s="50"/>
      <c r="BL276" s="50">
        <v>34</v>
      </c>
      <c r="BW276" s="50">
        <v>21</v>
      </c>
      <c r="BX276" s="3" t="s">
        <v>492</v>
      </c>
    </row>
    <row r="277" spans="1:76" ht="13.5" customHeight="1" x14ac:dyDescent="0.3">
      <c r="A277" s="53"/>
      <c r="B277" s="57" t="s">
        <v>198</v>
      </c>
      <c r="C277" s="150" t="s">
        <v>493</v>
      </c>
      <c r="D277" s="151"/>
      <c r="E277" s="151"/>
      <c r="F277" s="151"/>
      <c r="G277" s="151"/>
      <c r="H277" s="151"/>
      <c r="I277" s="151"/>
      <c r="J277" s="151"/>
      <c r="K277" s="152"/>
    </row>
    <row r="278" spans="1:76" ht="14.4" x14ac:dyDescent="0.3">
      <c r="A278" s="53"/>
      <c r="C278" s="54" t="s">
        <v>494</v>
      </c>
      <c r="D278" s="54" t="s">
        <v>4</v>
      </c>
      <c r="F278" s="55">
        <v>3.96</v>
      </c>
      <c r="K278" s="56"/>
    </row>
    <row r="279" spans="1:76" ht="14.4" x14ac:dyDescent="0.3">
      <c r="A279" s="1" t="s">
        <v>495</v>
      </c>
      <c r="B279" s="2" t="s">
        <v>496</v>
      </c>
      <c r="C279" s="75" t="s">
        <v>497</v>
      </c>
      <c r="D279" s="70"/>
      <c r="E279" s="2" t="s">
        <v>216</v>
      </c>
      <c r="F279" s="50">
        <v>21.54</v>
      </c>
      <c r="G279" s="50">
        <v>0</v>
      </c>
      <c r="H279" s="50">
        <f>ROUND(F279*AO279,2)</f>
        <v>0</v>
      </c>
      <c r="I279" s="50">
        <f>ROUND(F279*AP279,2)</f>
        <v>0</v>
      </c>
      <c r="J279" s="50">
        <f>ROUND(F279*G279,2)</f>
        <v>0</v>
      </c>
      <c r="K279" s="51" t="s">
        <v>116</v>
      </c>
      <c r="Z279" s="50">
        <f>ROUND(IF(AQ279="5",BJ279,0),2)</f>
        <v>0</v>
      </c>
      <c r="AB279" s="50">
        <f>ROUND(IF(AQ279="1",BH279,0),2)</f>
        <v>0</v>
      </c>
      <c r="AC279" s="50">
        <f>ROUND(IF(AQ279="1",BI279,0),2)</f>
        <v>0</v>
      </c>
      <c r="AD279" s="50">
        <f>ROUND(IF(AQ279="7",BH279,0),2)</f>
        <v>0</v>
      </c>
      <c r="AE279" s="50">
        <f>ROUND(IF(AQ279="7",BI279,0),2)</f>
        <v>0</v>
      </c>
      <c r="AF279" s="50">
        <f>ROUND(IF(AQ279="2",BH279,0),2)</f>
        <v>0</v>
      </c>
      <c r="AG279" s="50">
        <f>ROUND(IF(AQ279="2",BI279,0),2)</f>
        <v>0</v>
      </c>
      <c r="AH279" s="50">
        <f>ROUND(IF(AQ279="0",BJ279,0),2)</f>
        <v>0</v>
      </c>
      <c r="AI279" s="32" t="s">
        <v>4</v>
      </c>
      <c r="AJ279" s="50">
        <f>IF(AN279=0,J279,0)</f>
        <v>0</v>
      </c>
      <c r="AK279" s="50">
        <f>IF(AN279=12,J279,0)</f>
        <v>0</v>
      </c>
      <c r="AL279" s="50">
        <f>IF(AN279=21,J279,0)</f>
        <v>0</v>
      </c>
      <c r="AN279" s="50">
        <v>21</v>
      </c>
      <c r="AO279" s="50">
        <f>G279*0.699363165</f>
        <v>0</v>
      </c>
      <c r="AP279" s="50">
        <f>G279*(1-0.699363165)</f>
        <v>0</v>
      </c>
      <c r="AQ279" s="52" t="s">
        <v>112</v>
      </c>
      <c r="AV279" s="50">
        <f>ROUND(AW279+AX279,2)</f>
        <v>0</v>
      </c>
      <c r="AW279" s="50">
        <f>ROUND(F279*AO279,2)</f>
        <v>0</v>
      </c>
      <c r="AX279" s="50">
        <f>ROUND(F279*AP279,2)</f>
        <v>0</v>
      </c>
      <c r="AY279" s="52" t="s">
        <v>464</v>
      </c>
      <c r="AZ279" s="52" t="s">
        <v>357</v>
      </c>
      <c r="BA279" s="32" t="s">
        <v>119</v>
      </c>
      <c r="BC279" s="50">
        <f>AW279+AX279</f>
        <v>0</v>
      </c>
      <c r="BD279" s="50">
        <f>G279/(100-BE279)*100</f>
        <v>0</v>
      </c>
      <c r="BE279" s="50">
        <v>0</v>
      </c>
      <c r="BF279" s="50">
        <f>279</f>
        <v>279</v>
      </c>
      <c r="BH279" s="50">
        <f>F279*AO279</f>
        <v>0</v>
      </c>
      <c r="BI279" s="50">
        <f>F279*AP279</f>
        <v>0</v>
      </c>
      <c r="BJ279" s="50">
        <f>F279*G279</f>
        <v>0</v>
      </c>
      <c r="BK279" s="50"/>
      <c r="BL279" s="50">
        <v>34</v>
      </c>
      <c r="BW279" s="50">
        <v>21</v>
      </c>
      <c r="BX279" s="3" t="s">
        <v>497</v>
      </c>
    </row>
    <row r="280" spans="1:76" ht="14.4" x14ac:dyDescent="0.3">
      <c r="A280" s="53"/>
      <c r="C280" s="54" t="s">
        <v>498</v>
      </c>
      <c r="D280" s="54" t="s">
        <v>4</v>
      </c>
      <c r="F280" s="55">
        <v>5.64</v>
      </c>
      <c r="K280" s="56"/>
    </row>
    <row r="281" spans="1:76" ht="14.4" x14ac:dyDescent="0.3">
      <c r="A281" s="53"/>
      <c r="C281" s="54" t="s">
        <v>499</v>
      </c>
      <c r="D281" s="54" t="s">
        <v>4</v>
      </c>
      <c r="F281" s="55">
        <v>5.0999999999999996</v>
      </c>
      <c r="K281" s="56"/>
    </row>
    <row r="282" spans="1:76" ht="14.4" x14ac:dyDescent="0.3">
      <c r="A282" s="53"/>
      <c r="C282" s="54" t="s">
        <v>500</v>
      </c>
      <c r="D282" s="54" t="s">
        <v>4</v>
      </c>
      <c r="F282" s="55">
        <v>7.5</v>
      </c>
      <c r="K282" s="56"/>
    </row>
    <row r="283" spans="1:76" ht="14.4" x14ac:dyDescent="0.3">
      <c r="A283" s="53"/>
      <c r="C283" s="54" t="s">
        <v>501</v>
      </c>
      <c r="D283" s="54" t="s">
        <v>4</v>
      </c>
      <c r="F283" s="55">
        <v>3.3</v>
      </c>
      <c r="K283" s="56"/>
    </row>
    <row r="284" spans="1:76" ht="14.4" x14ac:dyDescent="0.3">
      <c r="A284" s="46" t="s">
        <v>4</v>
      </c>
      <c r="B284" s="47" t="s">
        <v>324</v>
      </c>
      <c r="C284" s="148" t="s">
        <v>502</v>
      </c>
      <c r="D284" s="149"/>
      <c r="E284" s="48" t="s">
        <v>74</v>
      </c>
      <c r="F284" s="48" t="s">
        <v>74</v>
      </c>
      <c r="G284" s="48" t="s">
        <v>74</v>
      </c>
      <c r="H284" s="26">
        <f>SUM(H285:H328)</f>
        <v>0</v>
      </c>
      <c r="I284" s="26">
        <f>SUM(I285:I328)</f>
        <v>0</v>
      </c>
      <c r="J284" s="26">
        <f>SUM(J285:J328)</f>
        <v>0</v>
      </c>
      <c r="K284" s="49" t="s">
        <v>4</v>
      </c>
      <c r="AI284" s="32" t="s">
        <v>4</v>
      </c>
      <c r="AS284" s="26">
        <f>SUM(AJ285:AJ328)</f>
        <v>0</v>
      </c>
      <c r="AT284" s="26">
        <f>SUM(AK285:AK328)</f>
        <v>0</v>
      </c>
      <c r="AU284" s="26">
        <f>SUM(AL285:AL328)</f>
        <v>0</v>
      </c>
    </row>
    <row r="285" spans="1:76" ht="14.4" x14ac:dyDescent="0.3">
      <c r="A285" s="1" t="s">
        <v>503</v>
      </c>
      <c r="B285" s="2" t="s">
        <v>504</v>
      </c>
      <c r="C285" s="75" t="s">
        <v>505</v>
      </c>
      <c r="D285" s="70"/>
      <c r="E285" s="2" t="s">
        <v>216</v>
      </c>
      <c r="F285" s="50">
        <v>88.29</v>
      </c>
      <c r="G285" s="50">
        <v>0</v>
      </c>
      <c r="H285" s="50">
        <f>ROUND(F285*AO285,2)</f>
        <v>0</v>
      </c>
      <c r="I285" s="50">
        <f>ROUND(F285*AP285,2)</f>
        <v>0</v>
      </c>
      <c r="J285" s="50">
        <f>ROUND(F285*G285,2)</f>
        <v>0</v>
      </c>
      <c r="K285" s="51" t="s">
        <v>116</v>
      </c>
      <c r="Z285" s="50">
        <f>ROUND(IF(AQ285="5",BJ285,0),2)</f>
        <v>0</v>
      </c>
      <c r="AB285" s="50">
        <f>ROUND(IF(AQ285="1",BH285,0),2)</f>
        <v>0</v>
      </c>
      <c r="AC285" s="50">
        <f>ROUND(IF(AQ285="1",BI285,0),2)</f>
        <v>0</v>
      </c>
      <c r="AD285" s="50">
        <f>ROUND(IF(AQ285="7",BH285,0),2)</f>
        <v>0</v>
      </c>
      <c r="AE285" s="50">
        <f>ROUND(IF(AQ285="7",BI285,0),2)</f>
        <v>0</v>
      </c>
      <c r="AF285" s="50">
        <f>ROUND(IF(AQ285="2",BH285,0),2)</f>
        <v>0</v>
      </c>
      <c r="AG285" s="50">
        <f>ROUND(IF(AQ285="2",BI285,0),2)</f>
        <v>0</v>
      </c>
      <c r="AH285" s="50">
        <f>ROUND(IF(AQ285="0",BJ285,0),2)</f>
        <v>0</v>
      </c>
      <c r="AI285" s="32" t="s">
        <v>4</v>
      </c>
      <c r="AJ285" s="50">
        <f>IF(AN285=0,J285,0)</f>
        <v>0</v>
      </c>
      <c r="AK285" s="50">
        <f>IF(AN285=12,J285,0)</f>
        <v>0</v>
      </c>
      <c r="AL285" s="50">
        <f>IF(AN285=21,J285,0)</f>
        <v>0</v>
      </c>
      <c r="AN285" s="50">
        <v>21</v>
      </c>
      <c r="AO285" s="50">
        <f>G285*0.332423291</f>
        <v>0</v>
      </c>
      <c r="AP285" s="50">
        <f>G285*(1-0.332423291)</f>
        <v>0</v>
      </c>
      <c r="AQ285" s="52" t="s">
        <v>112</v>
      </c>
      <c r="AV285" s="50">
        <f>ROUND(AW285+AX285,2)</f>
        <v>0</v>
      </c>
      <c r="AW285" s="50">
        <f>ROUND(F285*AO285,2)</f>
        <v>0</v>
      </c>
      <c r="AX285" s="50">
        <f>ROUND(F285*AP285,2)</f>
        <v>0</v>
      </c>
      <c r="AY285" s="52" t="s">
        <v>506</v>
      </c>
      <c r="AZ285" s="52" t="s">
        <v>507</v>
      </c>
      <c r="BA285" s="32" t="s">
        <v>119</v>
      </c>
      <c r="BC285" s="50">
        <f>AW285+AX285</f>
        <v>0</v>
      </c>
      <c r="BD285" s="50">
        <f>G285/(100-BE285)*100</f>
        <v>0</v>
      </c>
      <c r="BE285" s="50">
        <v>0</v>
      </c>
      <c r="BF285" s="50">
        <f>285</f>
        <v>285</v>
      </c>
      <c r="BH285" s="50">
        <f>F285*AO285</f>
        <v>0</v>
      </c>
      <c r="BI285" s="50">
        <f>F285*AP285</f>
        <v>0</v>
      </c>
      <c r="BJ285" s="50">
        <f>F285*G285</f>
        <v>0</v>
      </c>
      <c r="BK285" s="50"/>
      <c r="BL285" s="50">
        <v>41</v>
      </c>
      <c r="BW285" s="50">
        <v>21</v>
      </c>
      <c r="BX285" s="3" t="s">
        <v>505</v>
      </c>
    </row>
    <row r="286" spans="1:76" ht="14.4" x14ac:dyDescent="0.3">
      <c r="A286" s="53"/>
      <c r="C286" s="54" t="s">
        <v>508</v>
      </c>
      <c r="D286" s="54" t="s">
        <v>4</v>
      </c>
      <c r="F286" s="55">
        <v>36.630000000000003</v>
      </c>
      <c r="K286" s="56"/>
    </row>
    <row r="287" spans="1:76" ht="14.4" x14ac:dyDescent="0.3">
      <c r="A287" s="53"/>
      <c r="C287" s="54" t="s">
        <v>509</v>
      </c>
      <c r="D287" s="54" t="s">
        <v>4</v>
      </c>
      <c r="F287" s="55">
        <v>51.66</v>
      </c>
      <c r="K287" s="56"/>
    </row>
    <row r="288" spans="1:76" ht="14.4" x14ac:dyDescent="0.3">
      <c r="A288" s="1" t="s">
        <v>510</v>
      </c>
      <c r="B288" s="2" t="s">
        <v>511</v>
      </c>
      <c r="C288" s="75" t="s">
        <v>512</v>
      </c>
      <c r="D288" s="70"/>
      <c r="E288" s="2" t="s">
        <v>173</v>
      </c>
      <c r="F288" s="50">
        <v>1.08992</v>
      </c>
      <c r="G288" s="50">
        <v>0</v>
      </c>
      <c r="H288" s="50">
        <f>ROUND(F288*AO288,2)</f>
        <v>0</v>
      </c>
      <c r="I288" s="50">
        <f>ROUND(F288*AP288,2)</f>
        <v>0</v>
      </c>
      <c r="J288" s="50">
        <f>ROUND(F288*G288,2)</f>
        <v>0</v>
      </c>
      <c r="K288" s="51" t="s">
        <v>116</v>
      </c>
      <c r="Z288" s="50">
        <f>ROUND(IF(AQ288="5",BJ288,0),2)</f>
        <v>0</v>
      </c>
      <c r="AB288" s="50">
        <f>ROUND(IF(AQ288="1",BH288,0),2)</f>
        <v>0</v>
      </c>
      <c r="AC288" s="50">
        <f>ROUND(IF(AQ288="1",BI288,0),2)</f>
        <v>0</v>
      </c>
      <c r="AD288" s="50">
        <f>ROUND(IF(AQ288="7",BH288,0),2)</f>
        <v>0</v>
      </c>
      <c r="AE288" s="50">
        <f>ROUND(IF(AQ288="7",BI288,0),2)</f>
        <v>0</v>
      </c>
      <c r="AF288" s="50">
        <f>ROUND(IF(AQ288="2",BH288,0),2)</f>
        <v>0</v>
      </c>
      <c r="AG288" s="50">
        <f>ROUND(IF(AQ288="2",BI288,0),2)</f>
        <v>0</v>
      </c>
      <c r="AH288" s="50">
        <f>ROUND(IF(AQ288="0",BJ288,0),2)</f>
        <v>0</v>
      </c>
      <c r="AI288" s="32" t="s">
        <v>4</v>
      </c>
      <c r="AJ288" s="50">
        <f>IF(AN288=0,J288,0)</f>
        <v>0</v>
      </c>
      <c r="AK288" s="50">
        <f>IF(AN288=12,J288,0)</f>
        <v>0</v>
      </c>
      <c r="AL288" s="50">
        <f>IF(AN288=21,J288,0)</f>
        <v>0</v>
      </c>
      <c r="AN288" s="50">
        <v>21</v>
      </c>
      <c r="AO288" s="50">
        <f>G288*0.002256076</f>
        <v>0</v>
      </c>
      <c r="AP288" s="50">
        <f>G288*(1-0.002256076)</f>
        <v>0</v>
      </c>
      <c r="AQ288" s="52" t="s">
        <v>112</v>
      </c>
      <c r="AV288" s="50">
        <f>ROUND(AW288+AX288,2)</f>
        <v>0</v>
      </c>
      <c r="AW288" s="50">
        <f>ROUND(F288*AO288,2)</f>
        <v>0</v>
      </c>
      <c r="AX288" s="50">
        <f>ROUND(F288*AP288,2)</f>
        <v>0</v>
      </c>
      <c r="AY288" s="52" t="s">
        <v>506</v>
      </c>
      <c r="AZ288" s="52" t="s">
        <v>507</v>
      </c>
      <c r="BA288" s="32" t="s">
        <v>119</v>
      </c>
      <c r="BC288" s="50">
        <f>AW288+AX288</f>
        <v>0</v>
      </c>
      <c r="BD288" s="50">
        <f>G288/(100-BE288)*100</f>
        <v>0</v>
      </c>
      <c r="BE288" s="50">
        <v>0</v>
      </c>
      <c r="BF288" s="50">
        <f>288</f>
        <v>288</v>
      </c>
      <c r="BH288" s="50">
        <f>F288*AO288</f>
        <v>0</v>
      </c>
      <c r="BI288" s="50">
        <f>F288*AP288</f>
        <v>0</v>
      </c>
      <c r="BJ288" s="50">
        <f>F288*G288</f>
        <v>0</v>
      </c>
      <c r="BK288" s="50"/>
      <c r="BL288" s="50">
        <v>41</v>
      </c>
      <c r="BW288" s="50">
        <v>21</v>
      </c>
      <c r="BX288" s="3" t="s">
        <v>512</v>
      </c>
    </row>
    <row r="289" spans="1:76" ht="14.4" x14ac:dyDescent="0.3">
      <c r="A289" s="53"/>
      <c r="C289" s="54" t="s">
        <v>513</v>
      </c>
      <c r="D289" s="54" t="s">
        <v>4</v>
      </c>
      <c r="F289" s="55">
        <v>1.08992</v>
      </c>
      <c r="K289" s="56"/>
    </row>
    <row r="290" spans="1:76" ht="14.4" x14ac:dyDescent="0.3">
      <c r="A290" s="1" t="s">
        <v>514</v>
      </c>
      <c r="B290" s="2" t="s">
        <v>398</v>
      </c>
      <c r="C290" s="75" t="s">
        <v>399</v>
      </c>
      <c r="D290" s="70"/>
      <c r="E290" s="2" t="s">
        <v>173</v>
      </c>
      <c r="F290" s="50">
        <v>1.1771100000000001</v>
      </c>
      <c r="G290" s="50">
        <v>0</v>
      </c>
      <c r="H290" s="50">
        <f>ROUND(F290*AO290,2)</f>
        <v>0</v>
      </c>
      <c r="I290" s="50">
        <f>ROUND(F290*AP290,2)</f>
        <v>0</v>
      </c>
      <c r="J290" s="50">
        <f>ROUND(F290*G290,2)</f>
        <v>0</v>
      </c>
      <c r="K290" s="51" t="s">
        <v>116</v>
      </c>
      <c r="Z290" s="50">
        <f>ROUND(IF(AQ290="5",BJ290,0),2)</f>
        <v>0</v>
      </c>
      <c r="AB290" s="50">
        <f>ROUND(IF(AQ290="1",BH290,0),2)</f>
        <v>0</v>
      </c>
      <c r="AC290" s="50">
        <f>ROUND(IF(AQ290="1",BI290,0),2)</f>
        <v>0</v>
      </c>
      <c r="AD290" s="50">
        <f>ROUND(IF(AQ290="7",BH290,0),2)</f>
        <v>0</v>
      </c>
      <c r="AE290" s="50">
        <f>ROUND(IF(AQ290="7",BI290,0),2)</f>
        <v>0</v>
      </c>
      <c r="AF290" s="50">
        <f>ROUND(IF(AQ290="2",BH290,0),2)</f>
        <v>0</v>
      </c>
      <c r="AG290" s="50">
        <f>ROUND(IF(AQ290="2",BI290,0),2)</f>
        <v>0</v>
      </c>
      <c r="AH290" s="50">
        <f>ROUND(IF(AQ290="0",BJ290,0),2)</f>
        <v>0</v>
      </c>
      <c r="AI290" s="32" t="s">
        <v>4</v>
      </c>
      <c r="AJ290" s="50">
        <f>IF(AN290=0,J290,0)</f>
        <v>0</v>
      </c>
      <c r="AK290" s="50">
        <f>IF(AN290=12,J290,0)</f>
        <v>0</v>
      </c>
      <c r="AL290" s="50">
        <f>IF(AN290=21,J290,0)</f>
        <v>0</v>
      </c>
      <c r="AN290" s="50">
        <v>21</v>
      </c>
      <c r="AO290" s="50">
        <f>G290*1</f>
        <v>0</v>
      </c>
      <c r="AP290" s="50">
        <f>G290*(1-1)</f>
        <v>0</v>
      </c>
      <c r="AQ290" s="52" t="s">
        <v>112</v>
      </c>
      <c r="AV290" s="50">
        <f>ROUND(AW290+AX290,2)</f>
        <v>0</v>
      </c>
      <c r="AW290" s="50">
        <f>ROUND(F290*AO290,2)</f>
        <v>0</v>
      </c>
      <c r="AX290" s="50">
        <f>ROUND(F290*AP290,2)</f>
        <v>0</v>
      </c>
      <c r="AY290" s="52" t="s">
        <v>506</v>
      </c>
      <c r="AZ290" s="52" t="s">
        <v>507</v>
      </c>
      <c r="BA290" s="32" t="s">
        <v>119</v>
      </c>
      <c r="BC290" s="50">
        <f>AW290+AX290</f>
        <v>0</v>
      </c>
      <c r="BD290" s="50">
        <f>G290/(100-BE290)*100</f>
        <v>0</v>
      </c>
      <c r="BE290" s="50">
        <v>0</v>
      </c>
      <c r="BF290" s="50">
        <f>290</f>
        <v>290</v>
      </c>
      <c r="BH290" s="50">
        <f>F290*AO290</f>
        <v>0</v>
      </c>
      <c r="BI290" s="50">
        <f>F290*AP290</f>
        <v>0</v>
      </c>
      <c r="BJ290" s="50">
        <f>F290*G290</f>
        <v>0</v>
      </c>
      <c r="BK290" s="50"/>
      <c r="BL290" s="50">
        <v>41</v>
      </c>
      <c r="BW290" s="50">
        <v>21</v>
      </c>
      <c r="BX290" s="3" t="s">
        <v>399</v>
      </c>
    </row>
    <row r="291" spans="1:76" ht="14.4" x14ac:dyDescent="0.3">
      <c r="A291" s="53"/>
      <c r="C291" s="54" t="s">
        <v>513</v>
      </c>
      <c r="D291" s="54" t="s">
        <v>4</v>
      </c>
      <c r="F291" s="55">
        <v>1.08992</v>
      </c>
      <c r="K291" s="56"/>
    </row>
    <row r="292" spans="1:76" ht="14.4" x14ac:dyDescent="0.3">
      <c r="A292" s="53"/>
      <c r="C292" s="54" t="s">
        <v>515</v>
      </c>
      <c r="D292" s="54" t="s">
        <v>4</v>
      </c>
      <c r="F292" s="55">
        <v>8.7190000000000004E-2</v>
      </c>
      <c r="K292" s="56"/>
    </row>
    <row r="293" spans="1:76" ht="14.4" x14ac:dyDescent="0.3">
      <c r="A293" s="1" t="s">
        <v>516</v>
      </c>
      <c r="B293" s="2" t="s">
        <v>517</v>
      </c>
      <c r="C293" s="75" t="s">
        <v>518</v>
      </c>
      <c r="D293" s="70"/>
      <c r="E293" s="2" t="s">
        <v>173</v>
      </c>
      <c r="F293" s="50">
        <v>0.78047999999999995</v>
      </c>
      <c r="G293" s="50">
        <v>0</v>
      </c>
      <c r="H293" s="50">
        <f>ROUND(F293*AO293,2)</f>
        <v>0</v>
      </c>
      <c r="I293" s="50">
        <f>ROUND(F293*AP293,2)</f>
        <v>0</v>
      </c>
      <c r="J293" s="50">
        <f>ROUND(F293*G293,2)</f>
        <v>0</v>
      </c>
      <c r="K293" s="51" t="s">
        <v>116</v>
      </c>
      <c r="Z293" s="50">
        <f>ROUND(IF(AQ293="5",BJ293,0),2)</f>
        <v>0</v>
      </c>
      <c r="AB293" s="50">
        <f>ROUND(IF(AQ293="1",BH293,0),2)</f>
        <v>0</v>
      </c>
      <c r="AC293" s="50">
        <f>ROUND(IF(AQ293="1",BI293,0),2)</f>
        <v>0</v>
      </c>
      <c r="AD293" s="50">
        <f>ROUND(IF(AQ293="7",BH293,0),2)</f>
        <v>0</v>
      </c>
      <c r="AE293" s="50">
        <f>ROUND(IF(AQ293="7",BI293,0),2)</f>
        <v>0</v>
      </c>
      <c r="AF293" s="50">
        <f>ROUND(IF(AQ293="2",BH293,0),2)</f>
        <v>0</v>
      </c>
      <c r="AG293" s="50">
        <f>ROUND(IF(AQ293="2",BI293,0),2)</f>
        <v>0</v>
      </c>
      <c r="AH293" s="50">
        <f>ROUND(IF(AQ293="0",BJ293,0),2)</f>
        <v>0</v>
      </c>
      <c r="AI293" s="32" t="s">
        <v>4</v>
      </c>
      <c r="AJ293" s="50">
        <f>IF(AN293=0,J293,0)</f>
        <v>0</v>
      </c>
      <c r="AK293" s="50">
        <f>IF(AN293=12,J293,0)</f>
        <v>0</v>
      </c>
      <c r="AL293" s="50">
        <f>IF(AN293=21,J293,0)</f>
        <v>0</v>
      </c>
      <c r="AN293" s="50">
        <v>21</v>
      </c>
      <c r="AO293" s="50">
        <f>G293*0.00174708</f>
        <v>0</v>
      </c>
      <c r="AP293" s="50">
        <f>G293*(1-0.00174708)</f>
        <v>0</v>
      </c>
      <c r="AQ293" s="52" t="s">
        <v>112</v>
      </c>
      <c r="AV293" s="50">
        <f>ROUND(AW293+AX293,2)</f>
        <v>0</v>
      </c>
      <c r="AW293" s="50">
        <f>ROUND(F293*AO293,2)</f>
        <v>0</v>
      </c>
      <c r="AX293" s="50">
        <f>ROUND(F293*AP293,2)</f>
        <v>0</v>
      </c>
      <c r="AY293" s="52" t="s">
        <v>506</v>
      </c>
      <c r="AZ293" s="52" t="s">
        <v>507</v>
      </c>
      <c r="BA293" s="32" t="s">
        <v>119</v>
      </c>
      <c r="BC293" s="50">
        <f>AW293+AX293</f>
        <v>0</v>
      </c>
      <c r="BD293" s="50">
        <f>G293/(100-BE293)*100</f>
        <v>0</v>
      </c>
      <c r="BE293" s="50">
        <v>0</v>
      </c>
      <c r="BF293" s="50">
        <f>293</f>
        <v>293</v>
      </c>
      <c r="BH293" s="50">
        <f>F293*AO293</f>
        <v>0</v>
      </c>
      <c r="BI293" s="50">
        <f>F293*AP293</f>
        <v>0</v>
      </c>
      <c r="BJ293" s="50">
        <f>F293*G293</f>
        <v>0</v>
      </c>
      <c r="BK293" s="50"/>
      <c r="BL293" s="50">
        <v>41</v>
      </c>
      <c r="BW293" s="50">
        <v>21</v>
      </c>
      <c r="BX293" s="3" t="s">
        <v>518</v>
      </c>
    </row>
    <row r="294" spans="1:76" ht="14.4" x14ac:dyDescent="0.3">
      <c r="A294" s="53"/>
      <c r="C294" s="54" t="s">
        <v>519</v>
      </c>
      <c r="D294" s="54" t="s">
        <v>4</v>
      </c>
      <c r="F294" s="55">
        <v>0.78047999999999995</v>
      </c>
      <c r="K294" s="56"/>
    </row>
    <row r="295" spans="1:76" ht="14.4" x14ac:dyDescent="0.3">
      <c r="A295" s="1" t="s">
        <v>520</v>
      </c>
      <c r="B295" s="2" t="s">
        <v>521</v>
      </c>
      <c r="C295" s="75" t="s">
        <v>522</v>
      </c>
      <c r="D295" s="70"/>
      <c r="E295" s="2" t="s">
        <v>173</v>
      </c>
      <c r="F295" s="50">
        <v>0.84292</v>
      </c>
      <c r="G295" s="50">
        <v>0</v>
      </c>
      <c r="H295" s="50">
        <f>ROUND(F295*AO295,2)</f>
        <v>0</v>
      </c>
      <c r="I295" s="50">
        <f>ROUND(F295*AP295,2)</f>
        <v>0</v>
      </c>
      <c r="J295" s="50">
        <f>ROUND(F295*G295,2)</f>
        <v>0</v>
      </c>
      <c r="K295" s="51" t="s">
        <v>116</v>
      </c>
      <c r="Z295" s="50">
        <f>ROUND(IF(AQ295="5",BJ295,0),2)</f>
        <v>0</v>
      </c>
      <c r="AB295" s="50">
        <f>ROUND(IF(AQ295="1",BH295,0),2)</f>
        <v>0</v>
      </c>
      <c r="AC295" s="50">
        <f>ROUND(IF(AQ295="1",BI295,0),2)</f>
        <v>0</v>
      </c>
      <c r="AD295" s="50">
        <f>ROUND(IF(AQ295="7",BH295,0),2)</f>
        <v>0</v>
      </c>
      <c r="AE295" s="50">
        <f>ROUND(IF(AQ295="7",BI295,0),2)</f>
        <v>0</v>
      </c>
      <c r="AF295" s="50">
        <f>ROUND(IF(AQ295="2",BH295,0),2)</f>
        <v>0</v>
      </c>
      <c r="AG295" s="50">
        <f>ROUND(IF(AQ295="2",BI295,0),2)</f>
        <v>0</v>
      </c>
      <c r="AH295" s="50">
        <f>ROUND(IF(AQ295="0",BJ295,0),2)</f>
        <v>0</v>
      </c>
      <c r="AI295" s="32" t="s">
        <v>4</v>
      </c>
      <c r="AJ295" s="50">
        <f>IF(AN295=0,J295,0)</f>
        <v>0</v>
      </c>
      <c r="AK295" s="50">
        <f>IF(AN295=12,J295,0)</f>
        <v>0</v>
      </c>
      <c r="AL295" s="50">
        <f>IF(AN295=21,J295,0)</f>
        <v>0</v>
      </c>
      <c r="AN295" s="50">
        <v>21</v>
      </c>
      <c r="AO295" s="50">
        <f>G295*1</f>
        <v>0</v>
      </c>
      <c r="AP295" s="50">
        <f>G295*(1-1)</f>
        <v>0</v>
      </c>
      <c r="AQ295" s="52" t="s">
        <v>112</v>
      </c>
      <c r="AV295" s="50">
        <f>ROUND(AW295+AX295,2)</f>
        <v>0</v>
      </c>
      <c r="AW295" s="50">
        <f>ROUND(F295*AO295,2)</f>
        <v>0</v>
      </c>
      <c r="AX295" s="50">
        <f>ROUND(F295*AP295,2)</f>
        <v>0</v>
      </c>
      <c r="AY295" s="52" t="s">
        <v>506</v>
      </c>
      <c r="AZ295" s="52" t="s">
        <v>507</v>
      </c>
      <c r="BA295" s="32" t="s">
        <v>119</v>
      </c>
      <c r="BC295" s="50">
        <f>AW295+AX295</f>
        <v>0</v>
      </c>
      <c r="BD295" s="50">
        <f>G295/(100-BE295)*100</f>
        <v>0</v>
      </c>
      <c r="BE295" s="50">
        <v>0</v>
      </c>
      <c r="BF295" s="50">
        <f>295</f>
        <v>295</v>
      </c>
      <c r="BH295" s="50">
        <f>F295*AO295</f>
        <v>0</v>
      </c>
      <c r="BI295" s="50">
        <f>F295*AP295</f>
        <v>0</v>
      </c>
      <c r="BJ295" s="50">
        <f>F295*G295</f>
        <v>0</v>
      </c>
      <c r="BK295" s="50"/>
      <c r="BL295" s="50">
        <v>41</v>
      </c>
      <c r="BW295" s="50">
        <v>21</v>
      </c>
      <c r="BX295" s="3" t="s">
        <v>522</v>
      </c>
    </row>
    <row r="296" spans="1:76" ht="14.4" x14ac:dyDescent="0.3">
      <c r="A296" s="53"/>
      <c r="C296" s="54" t="s">
        <v>523</v>
      </c>
      <c r="D296" s="54" t="s">
        <v>4</v>
      </c>
      <c r="F296" s="55">
        <v>0.78047999999999995</v>
      </c>
      <c r="K296" s="56"/>
    </row>
    <row r="297" spans="1:76" ht="14.4" x14ac:dyDescent="0.3">
      <c r="A297" s="53"/>
      <c r="C297" s="54" t="s">
        <v>524</v>
      </c>
      <c r="D297" s="54" t="s">
        <v>4</v>
      </c>
      <c r="F297" s="55">
        <v>6.2440000000000002E-2</v>
      </c>
      <c r="K297" s="56"/>
    </row>
    <row r="298" spans="1:76" ht="14.4" x14ac:dyDescent="0.3">
      <c r="A298" s="1" t="s">
        <v>525</v>
      </c>
      <c r="B298" s="2" t="s">
        <v>526</v>
      </c>
      <c r="C298" s="75" t="s">
        <v>527</v>
      </c>
      <c r="D298" s="70"/>
      <c r="E298" s="2" t="s">
        <v>216</v>
      </c>
      <c r="F298" s="50">
        <v>34.130000000000003</v>
      </c>
      <c r="G298" s="50">
        <v>0</v>
      </c>
      <c r="H298" s="50">
        <f>ROUND(F298*AO298,2)</f>
        <v>0</v>
      </c>
      <c r="I298" s="50">
        <f>ROUND(F298*AP298,2)</f>
        <v>0</v>
      </c>
      <c r="J298" s="50">
        <f>ROUND(F298*G298,2)</f>
        <v>0</v>
      </c>
      <c r="K298" s="51" t="s">
        <v>116</v>
      </c>
      <c r="Z298" s="50">
        <f>ROUND(IF(AQ298="5",BJ298,0),2)</f>
        <v>0</v>
      </c>
      <c r="AB298" s="50">
        <f>ROUND(IF(AQ298="1",BH298,0),2)</f>
        <v>0</v>
      </c>
      <c r="AC298" s="50">
        <f>ROUND(IF(AQ298="1",BI298,0),2)</f>
        <v>0</v>
      </c>
      <c r="AD298" s="50">
        <f>ROUND(IF(AQ298="7",BH298,0),2)</f>
        <v>0</v>
      </c>
      <c r="AE298" s="50">
        <f>ROUND(IF(AQ298="7",BI298,0),2)</f>
        <v>0</v>
      </c>
      <c r="AF298" s="50">
        <f>ROUND(IF(AQ298="2",BH298,0),2)</f>
        <v>0</v>
      </c>
      <c r="AG298" s="50">
        <f>ROUND(IF(AQ298="2",BI298,0),2)</f>
        <v>0</v>
      </c>
      <c r="AH298" s="50">
        <f>ROUND(IF(AQ298="0",BJ298,0),2)</f>
        <v>0</v>
      </c>
      <c r="AI298" s="32" t="s">
        <v>4</v>
      </c>
      <c r="AJ298" s="50">
        <f>IF(AN298=0,J298,0)</f>
        <v>0</v>
      </c>
      <c r="AK298" s="50">
        <f>IF(AN298=12,J298,0)</f>
        <v>0</v>
      </c>
      <c r="AL298" s="50">
        <f>IF(AN298=21,J298,0)</f>
        <v>0</v>
      </c>
      <c r="AN298" s="50">
        <v>21</v>
      </c>
      <c r="AO298" s="50">
        <f>G298*0.659023744</f>
        <v>0</v>
      </c>
      <c r="AP298" s="50">
        <f>G298*(1-0.659023744)</f>
        <v>0</v>
      </c>
      <c r="AQ298" s="52" t="s">
        <v>112</v>
      </c>
      <c r="AV298" s="50">
        <f>ROUND(AW298+AX298,2)</f>
        <v>0</v>
      </c>
      <c r="AW298" s="50">
        <f>ROUND(F298*AO298,2)</f>
        <v>0</v>
      </c>
      <c r="AX298" s="50">
        <f>ROUND(F298*AP298,2)</f>
        <v>0</v>
      </c>
      <c r="AY298" s="52" t="s">
        <v>506</v>
      </c>
      <c r="AZ298" s="52" t="s">
        <v>507</v>
      </c>
      <c r="BA298" s="32" t="s">
        <v>119</v>
      </c>
      <c r="BC298" s="50">
        <f>AW298+AX298</f>
        <v>0</v>
      </c>
      <c r="BD298" s="50">
        <f>G298/(100-BE298)*100</f>
        <v>0</v>
      </c>
      <c r="BE298" s="50">
        <v>0</v>
      </c>
      <c r="BF298" s="50">
        <f>298</f>
        <v>298</v>
      </c>
      <c r="BH298" s="50">
        <f>F298*AO298</f>
        <v>0</v>
      </c>
      <c r="BI298" s="50">
        <f>F298*AP298</f>
        <v>0</v>
      </c>
      <c r="BJ298" s="50">
        <f>F298*G298</f>
        <v>0</v>
      </c>
      <c r="BK298" s="50"/>
      <c r="BL298" s="50">
        <v>41</v>
      </c>
      <c r="BW298" s="50">
        <v>21</v>
      </c>
      <c r="BX298" s="3" t="s">
        <v>527</v>
      </c>
    </row>
    <row r="299" spans="1:76" ht="13.5" customHeight="1" x14ac:dyDescent="0.3">
      <c r="A299" s="53"/>
      <c r="B299" s="57" t="s">
        <v>198</v>
      </c>
      <c r="C299" s="150" t="s">
        <v>528</v>
      </c>
      <c r="D299" s="151"/>
      <c r="E299" s="151"/>
      <c r="F299" s="151"/>
      <c r="G299" s="151"/>
      <c r="H299" s="151"/>
      <c r="I299" s="151"/>
      <c r="J299" s="151"/>
      <c r="K299" s="152"/>
    </row>
    <row r="300" spans="1:76" ht="14.4" x14ac:dyDescent="0.3">
      <c r="A300" s="53"/>
      <c r="C300" s="54" t="s">
        <v>529</v>
      </c>
      <c r="D300" s="54" t="s">
        <v>4</v>
      </c>
      <c r="F300" s="55">
        <v>25.73</v>
      </c>
      <c r="K300" s="56"/>
    </row>
    <row r="301" spans="1:76" ht="14.4" x14ac:dyDescent="0.3">
      <c r="A301" s="53"/>
      <c r="C301" s="54" t="s">
        <v>530</v>
      </c>
      <c r="D301" s="54" t="s">
        <v>4</v>
      </c>
      <c r="F301" s="55">
        <v>8.4</v>
      </c>
      <c r="K301" s="56"/>
    </row>
    <row r="302" spans="1:76" ht="14.4" x14ac:dyDescent="0.3">
      <c r="A302" s="1" t="s">
        <v>531</v>
      </c>
      <c r="B302" s="2" t="s">
        <v>532</v>
      </c>
      <c r="C302" s="75" t="s">
        <v>533</v>
      </c>
      <c r="D302" s="70"/>
      <c r="E302" s="2" t="s">
        <v>216</v>
      </c>
      <c r="F302" s="50">
        <v>11.25</v>
      </c>
      <c r="G302" s="50">
        <v>0</v>
      </c>
      <c r="H302" s="50">
        <f>ROUND(F302*AO302,2)</f>
        <v>0</v>
      </c>
      <c r="I302" s="50">
        <f>ROUND(F302*AP302,2)</f>
        <v>0</v>
      </c>
      <c r="J302" s="50">
        <f>ROUND(F302*G302,2)</f>
        <v>0</v>
      </c>
      <c r="K302" s="51" t="s">
        <v>116</v>
      </c>
      <c r="Z302" s="50">
        <f>ROUND(IF(AQ302="5",BJ302,0),2)</f>
        <v>0</v>
      </c>
      <c r="AB302" s="50">
        <f>ROUND(IF(AQ302="1",BH302,0),2)</f>
        <v>0</v>
      </c>
      <c r="AC302" s="50">
        <f>ROUND(IF(AQ302="1",BI302,0),2)</f>
        <v>0</v>
      </c>
      <c r="AD302" s="50">
        <f>ROUND(IF(AQ302="7",BH302,0),2)</f>
        <v>0</v>
      </c>
      <c r="AE302" s="50">
        <f>ROUND(IF(AQ302="7",BI302,0),2)</f>
        <v>0</v>
      </c>
      <c r="AF302" s="50">
        <f>ROUND(IF(AQ302="2",BH302,0),2)</f>
        <v>0</v>
      </c>
      <c r="AG302" s="50">
        <f>ROUND(IF(AQ302="2",BI302,0),2)</f>
        <v>0</v>
      </c>
      <c r="AH302" s="50">
        <f>ROUND(IF(AQ302="0",BJ302,0),2)</f>
        <v>0</v>
      </c>
      <c r="AI302" s="32" t="s">
        <v>4</v>
      </c>
      <c r="AJ302" s="50">
        <f>IF(AN302=0,J302,0)</f>
        <v>0</v>
      </c>
      <c r="AK302" s="50">
        <f>IF(AN302=12,J302,0)</f>
        <v>0</v>
      </c>
      <c r="AL302" s="50">
        <f>IF(AN302=21,J302,0)</f>
        <v>0</v>
      </c>
      <c r="AN302" s="50">
        <v>21</v>
      </c>
      <c r="AO302" s="50">
        <f>G302*0.690718284</f>
        <v>0</v>
      </c>
      <c r="AP302" s="50">
        <f>G302*(1-0.690718284)</f>
        <v>0</v>
      </c>
      <c r="AQ302" s="52" t="s">
        <v>112</v>
      </c>
      <c r="AV302" s="50">
        <f>ROUND(AW302+AX302,2)</f>
        <v>0</v>
      </c>
      <c r="AW302" s="50">
        <f>ROUND(F302*AO302,2)</f>
        <v>0</v>
      </c>
      <c r="AX302" s="50">
        <f>ROUND(F302*AP302,2)</f>
        <v>0</v>
      </c>
      <c r="AY302" s="52" t="s">
        <v>506</v>
      </c>
      <c r="AZ302" s="52" t="s">
        <v>507</v>
      </c>
      <c r="BA302" s="32" t="s">
        <v>119</v>
      </c>
      <c r="BC302" s="50">
        <f>AW302+AX302</f>
        <v>0</v>
      </c>
      <c r="BD302" s="50">
        <f>G302/(100-BE302)*100</f>
        <v>0</v>
      </c>
      <c r="BE302" s="50">
        <v>0</v>
      </c>
      <c r="BF302" s="50">
        <f>302</f>
        <v>302</v>
      </c>
      <c r="BH302" s="50">
        <f>F302*AO302</f>
        <v>0</v>
      </c>
      <c r="BI302" s="50">
        <f>F302*AP302</f>
        <v>0</v>
      </c>
      <c r="BJ302" s="50">
        <f>F302*G302</f>
        <v>0</v>
      </c>
      <c r="BK302" s="50"/>
      <c r="BL302" s="50">
        <v>41</v>
      </c>
      <c r="BW302" s="50">
        <v>21</v>
      </c>
      <c r="BX302" s="3" t="s">
        <v>533</v>
      </c>
    </row>
    <row r="303" spans="1:76" ht="13.5" customHeight="1" x14ac:dyDescent="0.3">
      <c r="A303" s="53"/>
      <c r="B303" s="57" t="s">
        <v>198</v>
      </c>
      <c r="C303" s="150" t="s">
        <v>528</v>
      </c>
      <c r="D303" s="151"/>
      <c r="E303" s="151"/>
      <c r="F303" s="151"/>
      <c r="G303" s="151"/>
      <c r="H303" s="151"/>
      <c r="I303" s="151"/>
      <c r="J303" s="151"/>
      <c r="K303" s="152"/>
    </row>
    <row r="304" spans="1:76" ht="14.4" x14ac:dyDescent="0.3">
      <c r="A304" s="53"/>
      <c r="C304" s="54" t="s">
        <v>534</v>
      </c>
      <c r="D304" s="54" t="s">
        <v>4</v>
      </c>
      <c r="F304" s="55">
        <v>11.25</v>
      </c>
      <c r="K304" s="56"/>
    </row>
    <row r="305" spans="1:76" ht="14.4" x14ac:dyDescent="0.3">
      <c r="A305" s="1" t="s">
        <v>535</v>
      </c>
      <c r="B305" s="2" t="s">
        <v>536</v>
      </c>
      <c r="C305" s="75" t="s">
        <v>537</v>
      </c>
      <c r="D305" s="70"/>
      <c r="E305" s="2" t="s">
        <v>216</v>
      </c>
      <c r="F305" s="50">
        <v>11.3</v>
      </c>
      <c r="G305" s="50">
        <v>0</v>
      </c>
      <c r="H305" s="50">
        <f>ROUND(F305*AO305,2)</f>
        <v>0</v>
      </c>
      <c r="I305" s="50">
        <f>ROUND(F305*AP305,2)</f>
        <v>0</v>
      </c>
      <c r="J305" s="50">
        <f>ROUND(F305*G305,2)</f>
        <v>0</v>
      </c>
      <c r="K305" s="51" t="s">
        <v>116</v>
      </c>
      <c r="Z305" s="50">
        <f>ROUND(IF(AQ305="5",BJ305,0),2)</f>
        <v>0</v>
      </c>
      <c r="AB305" s="50">
        <f>ROUND(IF(AQ305="1",BH305,0),2)</f>
        <v>0</v>
      </c>
      <c r="AC305" s="50">
        <f>ROUND(IF(AQ305="1",BI305,0),2)</f>
        <v>0</v>
      </c>
      <c r="AD305" s="50">
        <f>ROUND(IF(AQ305="7",BH305,0),2)</f>
        <v>0</v>
      </c>
      <c r="AE305" s="50">
        <f>ROUND(IF(AQ305="7",BI305,0),2)</f>
        <v>0</v>
      </c>
      <c r="AF305" s="50">
        <f>ROUND(IF(AQ305="2",BH305,0),2)</f>
        <v>0</v>
      </c>
      <c r="AG305" s="50">
        <f>ROUND(IF(AQ305="2",BI305,0),2)</f>
        <v>0</v>
      </c>
      <c r="AH305" s="50">
        <f>ROUND(IF(AQ305="0",BJ305,0),2)</f>
        <v>0</v>
      </c>
      <c r="AI305" s="32" t="s">
        <v>4</v>
      </c>
      <c r="AJ305" s="50">
        <f>IF(AN305=0,J305,0)</f>
        <v>0</v>
      </c>
      <c r="AK305" s="50">
        <f>IF(AN305=12,J305,0)</f>
        <v>0</v>
      </c>
      <c r="AL305" s="50">
        <f>IF(AN305=21,J305,0)</f>
        <v>0</v>
      </c>
      <c r="AN305" s="50">
        <v>21</v>
      </c>
      <c r="AO305" s="50">
        <f>G305*0.677416188</f>
        <v>0</v>
      </c>
      <c r="AP305" s="50">
        <f>G305*(1-0.677416188)</f>
        <v>0</v>
      </c>
      <c r="AQ305" s="52" t="s">
        <v>112</v>
      </c>
      <c r="AV305" s="50">
        <f>ROUND(AW305+AX305,2)</f>
        <v>0</v>
      </c>
      <c r="AW305" s="50">
        <f>ROUND(F305*AO305,2)</f>
        <v>0</v>
      </c>
      <c r="AX305" s="50">
        <f>ROUND(F305*AP305,2)</f>
        <v>0</v>
      </c>
      <c r="AY305" s="52" t="s">
        <v>506</v>
      </c>
      <c r="AZ305" s="52" t="s">
        <v>507</v>
      </c>
      <c r="BA305" s="32" t="s">
        <v>119</v>
      </c>
      <c r="BC305" s="50">
        <f>AW305+AX305</f>
        <v>0</v>
      </c>
      <c r="BD305" s="50">
        <f>G305/(100-BE305)*100</f>
        <v>0</v>
      </c>
      <c r="BE305" s="50">
        <v>0</v>
      </c>
      <c r="BF305" s="50">
        <f>305</f>
        <v>305</v>
      </c>
      <c r="BH305" s="50">
        <f>F305*AO305</f>
        <v>0</v>
      </c>
      <c r="BI305" s="50">
        <f>F305*AP305</f>
        <v>0</v>
      </c>
      <c r="BJ305" s="50">
        <f>F305*G305</f>
        <v>0</v>
      </c>
      <c r="BK305" s="50"/>
      <c r="BL305" s="50">
        <v>41</v>
      </c>
      <c r="BW305" s="50">
        <v>21</v>
      </c>
      <c r="BX305" s="3" t="s">
        <v>537</v>
      </c>
    </row>
    <row r="306" spans="1:76" ht="13.5" customHeight="1" x14ac:dyDescent="0.3">
      <c r="A306" s="53"/>
      <c r="B306" s="57" t="s">
        <v>198</v>
      </c>
      <c r="C306" s="150" t="s">
        <v>528</v>
      </c>
      <c r="D306" s="151"/>
      <c r="E306" s="151"/>
      <c r="F306" s="151"/>
      <c r="G306" s="151"/>
      <c r="H306" s="151"/>
      <c r="I306" s="151"/>
      <c r="J306" s="151"/>
      <c r="K306" s="152"/>
    </row>
    <row r="307" spans="1:76" ht="14.4" x14ac:dyDescent="0.3">
      <c r="A307" s="53"/>
      <c r="C307" s="54" t="s">
        <v>538</v>
      </c>
      <c r="D307" s="54" t="s">
        <v>4</v>
      </c>
      <c r="F307" s="55">
        <v>11.3</v>
      </c>
      <c r="K307" s="56"/>
    </row>
    <row r="308" spans="1:76" ht="14.4" x14ac:dyDescent="0.3">
      <c r="A308" s="1" t="s">
        <v>539</v>
      </c>
      <c r="B308" s="2" t="s">
        <v>540</v>
      </c>
      <c r="C308" s="75" t="s">
        <v>541</v>
      </c>
      <c r="D308" s="70"/>
      <c r="E308" s="2" t="s">
        <v>115</v>
      </c>
      <c r="F308" s="50">
        <v>5.3910600000000004</v>
      </c>
      <c r="G308" s="50">
        <v>0</v>
      </c>
      <c r="H308" s="50">
        <f>ROUND(F308*AO308,2)</f>
        <v>0</v>
      </c>
      <c r="I308" s="50">
        <f>ROUND(F308*AP308,2)</f>
        <v>0</v>
      </c>
      <c r="J308" s="50">
        <f>ROUND(F308*G308,2)</f>
        <v>0</v>
      </c>
      <c r="K308" s="51" t="s">
        <v>116</v>
      </c>
      <c r="Z308" s="50">
        <f>ROUND(IF(AQ308="5",BJ308,0),2)</f>
        <v>0</v>
      </c>
      <c r="AB308" s="50">
        <f>ROUND(IF(AQ308="1",BH308,0),2)</f>
        <v>0</v>
      </c>
      <c r="AC308" s="50">
        <f>ROUND(IF(AQ308="1",BI308,0),2)</f>
        <v>0</v>
      </c>
      <c r="AD308" s="50">
        <f>ROUND(IF(AQ308="7",BH308,0),2)</f>
        <v>0</v>
      </c>
      <c r="AE308" s="50">
        <f>ROUND(IF(AQ308="7",BI308,0),2)</f>
        <v>0</v>
      </c>
      <c r="AF308" s="50">
        <f>ROUND(IF(AQ308="2",BH308,0),2)</f>
        <v>0</v>
      </c>
      <c r="AG308" s="50">
        <f>ROUND(IF(AQ308="2",BI308,0),2)</f>
        <v>0</v>
      </c>
      <c r="AH308" s="50">
        <f>ROUND(IF(AQ308="0",BJ308,0),2)</f>
        <v>0</v>
      </c>
      <c r="AI308" s="32" t="s">
        <v>4</v>
      </c>
      <c r="AJ308" s="50">
        <f>IF(AN308=0,J308,0)</f>
        <v>0</v>
      </c>
      <c r="AK308" s="50">
        <f>IF(AN308=12,J308,0)</f>
        <v>0</v>
      </c>
      <c r="AL308" s="50">
        <f>IF(AN308=21,J308,0)</f>
        <v>0</v>
      </c>
      <c r="AN308" s="50">
        <v>21</v>
      </c>
      <c r="AO308" s="50">
        <f>G308*0.816211259</f>
        <v>0</v>
      </c>
      <c r="AP308" s="50">
        <f>G308*(1-0.816211259)</f>
        <v>0</v>
      </c>
      <c r="AQ308" s="52" t="s">
        <v>112</v>
      </c>
      <c r="AV308" s="50">
        <f>ROUND(AW308+AX308,2)</f>
        <v>0</v>
      </c>
      <c r="AW308" s="50">
        <f>ROUND(F308*AO308,2)</f>
        <v>0</v>
      </c>
      <c r="AX308" s="50">
        <f>ROUND(F308*AP308,2)</f>
        <v>0</v>
      </c>
      <c r="AY308" s="52" t="s">
        <v>506</v>
      </c>
      <c r="AZ308" s="52" t="s">
        <v>507</v>
      </c>
      <c r="BA308" s="32" t="s">
        <v>119</v>
      </c>
      <c r="BC308" s="50">
        <f>AW308+AX308</f>
        <v>0</v>
      </c>
      <c r="BD308" s="50">
        <f>G308/(100-BE308)*100</f>
        <v>0</v>
      </c>
      <c r="BE308" s="50">
        <v>0</v>
      </c>
      <c r="BF308" s="50">
        <f>308</f>
        <v>308</v>
      </c>
      <c r="BH308" s="50">
        <f>F308*AO308</f>
        <v>0</v>
      </c>
      <c r="BI308" s="50">
        <f>F308*AP308</f>
        <v>0</v>
      </c>
      <c r="BJ308" s="50">
        <f>F308*G308</f>
        <v>0</v>
      </c>
      <c r="BK308" s="50"/>
      <c r="BL308" s="50">
        <v>41</v>
      </c>
      <c r="BW308" s="50">
        <v>21</v>
      </c>
      <c r="BX308" s="3" t="s">
        <v>541</v>
      </c>
    </row>
    <row r="309" spans="1:76" ht="14.4" x14ac:dyDescent="0.3">
      <c r="A309" s="53"/>
      <c r="C309" s="54" t="s">
        <v>542</v>
      </c>
      <c r="D309" s="54" t="s">
        <v>4</v>
      </c>
      <c r="F309" s="55">
        <v>2.6579999999999999</v>
      </c>
      <c r="K309" s="56"/>
    </row>
    <row r="310" spans="1:76" ht="14.4" x14ac:dyDescent="0.3">
      <c r="A310" s="53"/>
      <c r="C310" s="54" t="s">
        <v>543</v>
      </c>
      <c r="D310" s="54" t="s">
        <v>4</v>
      </c>
      <c r="F310" s="55">
        <v>1.3725000000000001</v>
      </c>
      <c r="K310" s="56"/>
    </row>
    <row r="311" spans="1:76" ht="14.4" x14ac:dyDescent="0.3">
      <c r="A311" s="53"/>
      <c r="C311" s="54" t="s">
        <v>544</v>
      </c>
      <c r="D311" s="54" t="s">
        <v>4</v>
      </c>
      <c r="F311" s="55">
        <v>0.45390000000000003</v>
      </c>
      <c r="K311" s="56"/>
    </row>
    <row r="312" spans="1:76" ht="14.4" x14ac:dyDescent="0.3">
      <c r="A312" s="53"/>
      <c r="C312" s="54" t="s">
        <v>545</v>
      </c>
      <c r="D312" s="54" t="s">
        <v>4</v>
      </c>
      <c r="F312" s="55">
        <v>0.90666000000000002</v>
      </c>
      <c r="K312" s="56"/>
    </row>
    <row r="313" spans="1:76" ht="14.4" x14ac:dyDescent="0.3">
      <c r="A313" s="1" t="s">
        <v>546</v>
      </c>
      <c r="B313" s="2" t="s">
        <v>547</v>
      </c>
      <c r="C313" s="75" t="s">
        <v>548</v>
      </c>
      <c r="D313" s="70"/>
      <c r="E313" s="2" t="s">
        <v>216</v>
      </c>
      <c r="F313" s="50">
        <v>42.734400000000001</v>
      </c>
      <c r="G313" s="50">
        <v>0</v>
      </c>
      <c r="H313" s="50">
        <f>ROUND(F313*AO313,2)</f>
        <v>0</v>
      </c>
      <c r="I313" s="50">
        <f>ROUND(F313*AP313,2)</f>
        <v>0</v>
      </c>
      <c r="J313" s="50">
        <f>ROUND(F313*G313,2)</f>
        <v>0</v>
      </c>
      <c r="K313" s="51" t="s">
        <v>116</v>
      </c>
      <c r="Z313" s="50">
        <f>ROUND(IF(AQ313="5",BJ313,0),2)</f>
        <v>0</v>
      </c>
      <c r="AB313" s="50">
        <f>ROUND(IF(AQ313="1",BH313,0),2)</f>
        <v>0</v>
      </c>
      <c r="AC313" s="50">
        <f>ROUND(IF(AQ313="1",BI313,0),2)</f>
        <v>0</v>
      </c>
      <c r="AD313" s="50">
        <f>ROUND(IF(AQ313="7",BH313,0),2)</f>
        <v>0</v>
      </c>
      <c r="AE313" s="50">
        <f>ROUND(IF(AQ313="7",BI313,0),2)</f>
        <v>0</v>
      </c>
      <c r="AF313" s="50">
        <f>ROUND(IF(AQ313="2",BH313,0),2)</f>
        <v>0</v>
      </c>
      <c r="AG313" s="50">
        <f>ROUND(IF(AQ313="2",BI313,0),2)</f>
        <v>0</v>
      </c>
      <c r="AH313" s="50">
        <f>ROUND(IF(AQ313="0",BJ313,0),2)</f>
        <v>0</v>
      </c>
      <c r="AI313" s="32" t="s">
        <v>4</v>
      </c>
      <c r="AJ313" s="50">
        <f>IF(AN313=0,J313,0)</f>
        <v>0</v>
      </c>
      <c r="AK313" s="50">
        <f>IF(AN313=12,J313,0)</f>
        <v>0</v>
      </c>
      <c r="AL313" s="50">
        <f>IF(AN313=21,J313,0)</f>
        <v>0</v>
      </c>
      <c r="AN313" s="50">
        <v>21</v>
      </c>
      <c r="AO313" s="50">
        <f>G313*0.195283942</f>
        <v>0</v>
      </c>
      <c r="AP313" s="50">
        <f>G313*(1-0.195283942)</f>
        <v>0</v>
      </c>
      <c r="AQ313" s="52" t="s">
        <v>112</v>
      </c>
      <c r="AV313" s="50">
        <f>ROUND(AW313+AX313,2)</f>
        <v>0</v>
      </c>
      <c r="AW313" s="50">
        <f>ROUND(F313*AO313,2)</f>
        <v>0</v>
      </c>
      <c r="AX313" s="50">
        <f>ROUND(F313*AP313,2)</f>
        <v>0</v>
      </c>
      <c r="AY313" s="52" t="s">
        <v>506</v>
      </c>
      <c r="AZ313" s="52" t="s">
        <v>507</v>
      </c>
      <c r="BA313" s="32" t="s">
        <v>119</v>
      </c>
      <c r="BC313" s="50">
        <f>AW313+AX313</f>
        <v>0</v>
      </c>
      <c r="BD313" s="50">
        <f>G313/(100-BE313)*100</f>
        <v>0</v>
      </c>
      <c r="BE313" s="50">
        <v>0</v>
      </c>
      <c r="BF313" s="50">
        <f>313</f>
        <v>313</v>
      </c>
      <c r="BH313" s="50">
        <f>F313*AO313</f>
        <v>0</v>
      </c>
      <c r="BI313" s="50">
        <f>F313*AP313</f>
        <v>0</v>
      </c>
      <c r="BJ313" s="50">
        <f>F313*G313</f>
        <v>0</v>
      </c>
      <c r="BK313" s="50"/>
      <c r="BL313" s="50">
        <v>41</v>
      </c>
      <c r="BW313" s="50">
        <v>21</v>
      </c>
      <c r="BX313" s="3" t="s">
        <v>548</v>
      </c>
    </row>
    <row r="314" spans="1:76" ht="14.4" x14ac:dyDescent="0.3">
      <c r="A314" s="53"/>
      <c r="C314" s="54" t="s">
        <v>549</v>
      </c>
      <c r="D314" s="54" t="s">
        <v>4</v>
      </c>
      <c r="F314" s="55">
        <v>22.15</v>
      </c>
      <c r="K314" s="56"/>
    </row>
    <row r="315" spans="1:76" ht="14.4" x14ac:dyDescent="0.3">
      <c r="A315" s="53"/>
      <c r="C315" s="54" t="s">
        <v>550</v>
      </c>
      <c r="D315" s="54" t="s">
        <v>4</v>
      </c>
      <c r="F315" s="55">
        <v>10.98</v>
      </c>
      <c r="K315" s="56"/>
    </row>
    <row r="316" spans="1:76" ht="14.4" x14ac:dyDescent="0.3">
      <c r="A316" s="53"/>
      <c r="C316" s="54" t="s">
        <v>551</v>
      </c>
      <c r="D316" s="54" t="s">
        <v>4</v>
      </c>
      <c r="F316" s="55">
        <v>3.56</v>
      </c>
      <c r="K316" s="56"/>
    </row>
    <row r="317" spans="1:76" ht="14.4" x14ac:dyDescent="0.3">
      <c r="A317" s="53"/>
      <c r="C317" s="54" t="s">
        <v>552</v>
      </c>
      <c r="D317" s="54" t="s">
        <v>4</v>
      </c>
      <c r="F317" s="55">
        <v>6.0444000000000004</v>
      </c>
      <c r="K317" s="56"/>
    </row>
    <row r="318" spans="1:76" ht="14.4" x14ac:dyDescent="0.3">
      <c r="A318" s="1" t="s">
        <v>553</v>
      </c>
      <c r="B318" s="2" t="s">
        <v>554</v>
      </c>
      <c r="C318" s="75" t="s">
        <v>555</v>
      </c>
      <c r="D318" s="70"/>
      <c r="E318" s="2" t="s">
        <v>216</v>
      </c>
      <c r="F318" s="50">
        <v>42.734400000000001</v>
      </c>
      <c r="G318" s="50">
        <v>0</v>
      </c>
      <c r="H318" s="50">
        <f>ROUND(F318*AO318,2)</f>
        <v>0</v>
      </c>
      <c r="I318" s="50">
        <f>ROUND(F318*AP318,2)</f>
        <v>0</v>
      </c>
      <c r="J318" s="50">
        <f>ROUND(F318*G318,2)</f>
        <v>0</v>
      </c>
      <c r="K318" s="51" t="s">
        <v>116</v>
      </c>
      <c r="Z318" s="50">
        <f>ROUND(IF(AQ318="5",BJ318,0),2)</f>
        <v>0</v>
      </c>
      <c r="AB318" s="50">
        <f>ROUND(IF(AQ318="1",BH318,0),2)</f>
        <v>0</v>
      </c>
      <c r="AC318" s="50">
        <f>ROUND(IF(AQ318="1",BI318,0),2)</f>
        <v>0</v>
      </c>
      <c r="AD318" s="50">
        <f>ROUND(IF(AQ318="7",BH318,0),2)</f>
        <v>0</v>
      </c>
      <c r="AE318" s="50">
        <f>ROUND(IF(AQ318="7",BI318,0),2)</f>
        <v>0</v>
      </c>
      <c r="AF318" s="50">
        <f>ROUND(IF(AQ318="2",BH318,0),2)</f>
        <v>0</v>
      </c>
      <c r="AG318" s="50">
        <f>ROUND(IF(AQ318="2",BI318,0),2)</f>
        <v>0</v>
      </c>
      <c r="AH318" s="50">
        <f>ROUND(IF(AQ318="0",BJ318,0),2)</f>
        <v>0</v>
      </c>
      <c r="AI318" s="32" t="s">
        <v>4</v>
      </c>
      <c r="AJ318" s="50">
        <f>IF(AN318=0,J318,0)</f>
        <v>0</v>
      </c>
      <c r="AK318" s="50">
        <f>IF(AN318=12,J318,0)</f>
        <v>0</v>
      </c>
      <c r="AL318" s="50">
        <f>IF(AN318=21,J318,0)</f>
        <v>0</v>
      </c>
      <c r="AN318" s="50">
        <v>21</v>
      </c>
      <c r="AO318" s="50">
        <f>G318*0</f>
        <v>0</v>
      </c>
      <c r="AP318" s="50">
        <f>G318*(1-0)</f>
        <v>0</v>
      </c>
      <c r="AQ318" s="52" t="s">
        <v>112</v>
      </c>
      <c r="AV318" s="50">
        <f>ROUND(AW318+AX318,2)</f>
        <v>0</v>
      </c>
      <c r="AW318" s="50">
        <f>ROUND(F318*AO318,2)</f>
        <v>0</v>
      </c>
      <c r="AX318" s="50">
        <f>ROUND(F318*AP318,2)</f>
        <v>0</v>
      </c>
      <c r="AY318" s="52" t="s">
        <v>506</v>
      </c>
      <c r="AZ318" s="52" t="s">
        <v>507</v>
      </c>
      <c r="BA318" s="32" t="s">
        <v>119</v>
      </c>
      <c r="BC318" s="50">
        <f>AW318+AX318</f>
        <v>0</v>
      </c>
      <c r="BD318" s="50">
        <f>G318/(100-BE318)*100</f>
        <v>0</v>
      </c>
      <c r="BE318" s="50">
        <v>0</v>
      </c>
      <c r="BF318" s="50">
        <f>318</f>
        <v>318</v>
      </c>
      <c r="BH318" s="50">
        <f>F318*AO318</f>
        <v>0</v>
      </c>
      <c r="BI318" s="50">
        <f>F318*AP318</f>
        <v>0</v>
      </c>
      <c r="BJ318" s="50">
        <f>F318*G318</f>
        <v>0</v>
      </c>
      <c r="BK318" s="50"/>
      <c r="BL318" s="50">
        <v>41</v>
      </c>
      <c r="BW318" s="50">
        <v>21</v>
      </c>
      <c r="BX318" s="3" t="s">
        <v>555</v>
      </c>
    </row>
    <row r="319" spans="1:76" ht="14.4" x14ac:dyDescent="0.3">
      <c r="A319" s="53"/>
      <c r="C319" s="54" t="s">
        <v>549</v>
      </c>
      <c r="D319" s="54" t="s">
        <v>4</v>
      </c>
      <c r="F319" s="55">
        <v>22.15</v>
      </c>
      <c r="K319" s="56"/>
    </row>
    <row r="320" spans="1:76" ht="14.4" x14ac:dyDescent="0.3">
      <c r="A320" s="53"/>
      <c r="C320" s="54" t="s">
        <v>550</v>
      </c>
      <c r="D320" s="54" t="s">
        <v>4</v>
      </c>
      <c r="F320" s="55">
        <v>10.98</v>
      </c>
      <c r="K320" s="56"/>
    </row>
    <row r="321" spans="1:76" ht="14.4" x14ac:dyDescent="0.3">
      <c r="A321" s="53"/>
      <c r="C321" s="54" t="s">
        <v>551</v>
      </c>
      <c r="D321" s="54" t="s">
        <v>4</v>
      </c>
      <c r="F321" s="55">
        <v>3.56</v>
      </c>
      <c r="K321" s="56"/>
    </row>
    <row r="322" spans="1:76" ht="14.4" x14ac:dyDescent="0.3">
      <c r="A322" s="53"/>
      <c r="C322" s="54" t="s">
        <v>552</v>
      </c>
      <c r="D322" s="54" t="s">
        <v>4</v>
      </c>
      <c r="F322" s="55">
        <v>6.0444000000000004</v>
      </c>
      <c r="K322" s="56"/>
    </row>
    <row r="323" spans="1:76" ht="14.4" x14ac:dyDescent="0.3">
      <c r="A323" s="1" t="s">
        <v>556</v>
      </c>
      <c r="B323" s="2" t="s">
        <v>557</v>
      </c>
      <c r="C323" s="75" t="s">
        <v>558</v>
      </c>
      <c r="D323" s="70"/>
      <c r="E323" s="2" t="s">
        <v>173</v>
      </c>
      <c r="F323" s="50">
        <v>0.27794000000000002</v>
      </c>
      <c r="G323" s="50">
        <v>0</v>
      </c>
      <c r="H323" s="50">
        <f>ROUND(F323*AO323,2)</f>
        <v>0</v>
      </c>
      <c r="I323" s="50">
        <f>ROUND(F323*AP323,2)</f>
        <v>0</v>
      </c>
      <c r="J323" s="50">
        <f>ROUND(F323*G323,2)</f>
        <v>0</v>
      </c>
      <c r="K323" s="51" t="s">
        <v>116</v>
      </c>
      <c r="Z323" s="50">
        <f>ROUND(IF(AQ323="5",BJ323,0),2)</f>
        <v>0</v>
      </c>
      <c r="AB323" s="50">
        <f>ROUND(IF(AQ323="1",BH323,0),2)</f>
        <v>0</v>
      </c>
      <c r="AC323" s="50">
        <f>ROUND(IF(AQ323="1",BI323,0),2)</f>
        <v>0</v>
      </c>
      <c r="AD323" s="50">
        <f>ROUND(IF(AQ323="7",BH323,0),2)</f>
        <v>0</v>
      </c>
      <c r="AE323" s="50">
        <f>ROUND(IF(AQ323="7",BI323,0),2)</f>
        <v>0</v>
      </c>
      <c r="AF323" s="50">
        <f>ROUND(IF(AQ323="2",BH323,0),2)</f>
        <v>0</v>
      </c>
      <c r="AG323" s="50">
        <f>ROUND(IF(AQ323="2",BI323,0),2)</f>
        <v>0</v>
      </c>
      <c r="AH323" s="50">
        <f>ROUND(IF(AQ323="0",BJ323,0),2)</f>
        <v>0</v>
      </c>
      <c r="AI323" s="32" t="s">
        <v>4</v>
      </c>
      <c r="AJ323" s="50">
        <f>IF(AN323=0,J323,0)</f>
        <v>0</v>
      </c>
      <c r="AK323" s="50">
        <f>IF(AN323=12,J323,0)</f>
        <v>0</v>
      </c>
      <c r="AL323" s="50">
        <f>IF(AN323=21,J323,0)</f>
        <v>0</v>
      </c>
      <c r="AN323" s="50">
        <v>21</v>
      </c>
      <c r="AO323" s="50">
        <f>G323*0.690049665</f>
        <v>0</v>
      </c>
      <c r="AP323" s="50">
        <f>G323*(1-0.690049665)</f>
        <v>0</v>
      </c>
      <c r="AQ323" s="52" t="s">
        <v>112</v>
      </c>
      <c r="AV323" s="50">
        <f>ROUND(AW323+AX323,2)</f>
        <v>0</v>
      </c>
      <c r="AW323" s="50">
        <f>ROUND(F323*AO323,2)</f>
        <v>0</v>
      </c>
      <c r="AX323" s="50">
        <f>ROUND(F323*AP323,2)</f>
        <v>0</v>
      </c>
      <c r="AY323" s="52" t="s">
        <v>506</v>
      </c>
      <c r="AZ323" s="52" t="s">
        <v>507</v>
      </c>
      <c r="BA323" s="32" t="s">
        <v>119</v>
      </c>
      <c r="BC323" s="50">
        <f>AW323+AX323</f>
        <v>0</v>
      </c>
      <c r="BD323" s="50">
        <f>G323/(100-BE323)*100</f>
        <v>0</v>
      </c>
      <c r="BE323" s="50">
        <v>0</v>
      </c>
      <c r="BF323" s="50">
        <f>323</f>
        <v>323</v>
      </c>
      <c r="BH323" s="50">
        <f>F323*AO323</f>
        <v>0</v>
      </c>
      <c r="BI323" s="50">
        <f>F323*AP323</f>
        <v>0</v>
      </c>
      <c r="BJ323" s="50">
        <f>F323*G323</f>
        <v>0</v>
      </c>
      <c r="BK323" s="50"/>
      <c r="BL323" s="50">
        <v>41</v>
      </c>
      <c r="BW323" s="50">
        <v>21</v>
      </c>
      <c r="BX323" s="3" t="s">
        <v>558</v>
      </c>
    </row>
    <row r="324" spans="1:76" ht="14.4" x14ac:dyDescent="0.3">
      <c r="A324" s="53"/>
      <c r="C324" s="54" t="s">
        <v>559</v>
      </c>
      <c r="D324" s="54" t="s">
        <v>4</v>
      </c>
      <c r="F324" s="55">
        <v>0.15770999999999999</v>
      </c>
      <c r="K324" s="56"/>
    </row>
    <row r="325" spans="1:76" ht="14.4" x14ac:dyDescent="0.3">
      <c r="A325" s="53"/>
      <c r="C325" s="54" t="s">
        <v>560</v>
      </c>
      <c r="D325" s="54" t="s">
        <v>4</v>
      </c>
      <c r="F325" s="55">
        <v>6.515E-2</v>
      </c>
      <c r="K325" s="56"/>
    </row>
    <row r="326" spans="1:76" ht="14.4" x14ac:dyDescent="0.3">
      <c r="A326" s="53"/>
      <c r="C326" s="54" t="s">
        <v>561</v>
      </c>
      <c r="D326" s="54" t="s">
        <v>4</v>
      </c>
      <c r="F326" s="55">
        <v>3.8980000000000001E-2</v>
      </c>
      <c r="K326" s="56"/>
    </row>
    <row r="327" spans="1:76" ht="14.4" x14ac:dyDescent="0.3">
      <c r="A327" s="53"/>
      <c r="C327" s="54" t="s">
        <v>562</v>
      </c>
      <c r="D327" s="54" t="s">
        <v>4</v>
      </c>
      <c r="F327" s="55">
        <v>1.61E-2</v>
      </c>
      <c r="K327" s="56"/>
    </row>
    <row r="328" spans="1:76" ht="14.4" x14ac:dyDescent="0.3">
      <c r="A328" s="1" t="s">
        <v>563</v>
      </c>
      <c r="B328" s="2" t="s">
        <v>564</v>
      </c>
      <c r="C328" s="75" t="s">
        <v>565</v>
      </c>
      <c r="D328" s="70"/>
      <c r="E328" s="2" t="s">
        <v>278</v>
      </c>
      <c r="F328" s="50">
        <v>3</v>
      </c>
      <c r="G328" s="50">
        <v>0</v>
      </c>
      <c r="H328" s="50">
        <f>ROUND(F328*AO328,2)</f>
        <v>0</v>
      </c>
      <c r="I328" s="50">
        <f>ROUND(F328*AP328,2)</f>
        <v>0</v>
      </c>
      <c r="J328" s="50">
        <f>ROUND(F328*G328,2)</f>
        <v>0</v>
      </c>
      <c r="K328" s="51" t="s">
        <v>116</v>
      </c>
      <c r="Z328" s="50">
        <f>ROUND(IF(AQ328="5",BJ328,0),2)</f>
        <v>0</v>
      </c>
      <c r="AB328" s="50">
        <f>ROUND(IF(AQ328="1",BH328,0),2)</f>
        <v>0</v>
      </c>
      <c r="AC328" s="50">
        <f>ROUND(IF(AQ328="1",BI328,0),2)</f>
        <v>0</v>
      </c>
      <c r="AD328" s="50">
        <f>ROUND(IF(AQ328="7",BH328,0),2)</f>
        <v>0</v>
      </c>
      <c r="AE328" s="50">
        <f>ROUND(IF(AQ328="7",BI328,0),2)</f>
        <v>0</v>
      </c>
      <c r="AF328" s="50">
        <f>ROUND(IF(AQ328="2",BH328,0),2)</f>
        <v>0</v>
      </c>
      <c r="AG328" s="50">
        <f>ROUND(IF(AQ328="2",BI328,0),2)</f>
        <v>0</v>
      </c>
      <c r="AH328" s="50">
        <f>ROUND(IF(AQ328="0",BJ328,0),2)</f>
        <v>0</v>
      </c>
      <c r="AI328" s="32" t="s">
        <v>4</v>
      </c>
      <c r="AJ328" s="50">
        <f>IF(AN328=0,J328,0)</f>
        <v>0</v>
      </c>
      <c r="AK328" s="50">
        <f>IF(AN328=12,J328,0)</f>
        <v>0</v>
      </c>
      <c r="AL328" s="50">
        <f>IF(AN328=21,J328,0)</f>
        <v>0</v>
      </c>
      <c r="AN328" s="50">
        <v>21</v>
      </c>
      <c r="AO328" s="50">
        <f>G328*0.330935728</f>
        <v>0</v>
      </c>
      <c r="AP328" s="50">
        <f>G328*(1-0.330935728)</f>
        <v>0</v>
      </c>
      <c r="AQ328" s="52" t="s">
        <v>112</v>
      </c>
      <c r="AV328" s="50">
        <f>ROUND(AW328+AX328,2)</f>
        <v>0</v>
      </c>
      <c r="AW328" s="50">
        <f>ROUND(F328*AO328,2)</f>
        <v>0</v>
      </c>
      <c r="AX328" s="50">
        <f>ROUND(F328*AP328,2)</f>
        <v>0</v>
      </c>
      <c r="AY328" s="52" t="s">
        <v>506</v>
      </c>
      <c r="AZ328" s="52" t="s">
        <v>507</v>
      </c>
      <c r="BA328" s="32" t="s">
        <v>119</v>
      </c>
      <c r="BC328" s="50">
        <f>AW328+AX328</f>
        <v>0</v>
      </c>
      <c r="BD328" s="50">
        <f>G328/(100-BE328)*100</f>
        <v>0</v>
      </c>
      <c r="BE328" s="50">
        <v>0</v>
      </c>
      <c r="BF328" s="50">
        <f>328</f>
        <v>328</v>
      </c>
      <c r="BH328" s="50">
        <f>F328*AO328</f>
        <v>0</v>
      </c>
      <c r="BI328" s="50">
        <f>F328*AP328</f>
        <v>0</v>
      </c>
      <c r="BJ328" s="50">
        <f>F328*G328</f>
        <v>0</v>
      </c>
      <c r="BK328" s="50"/>
      <c r="BL328" s="50">
        <v>41</v>
      </c>
      <c r="BW328" s="50">
        <v>21</v>
      </c>
      <c r="BX328" s="3" t="s">
        <v>565</v>
      </c>
    </row>
    <row r="329" spans="1:76" ht="13.5" customHeight="1" x14ac:dyDescent="0.3">
      <c r="A329" s="53"/>
      <c r="B329" s="57" t="s">
        <v>198</v>
      </c>
      <c r="C329" s="150" t="s">
        <v>566</v>
      </c>
      <c r="D329" s="151"/>
      <c r="E329" s="151"/>
      <c r="F329" s="151"/>
      <c r="G329" s="151"/>
      <c r="H329" s="151"/>
      <c r="I329" s="151"/>
      <c r="J329" s="151"/>
      <c r="K329" s="152"/>
    </row>
    <row r="330" spans="1:76" ht="14.4" x14ac:dyDescent="0.3">
      <c r="A330" s="53"/>
      <c r="C330" s="54" t="s">
        <v>135</v>
      </c>
      <c r="D330" s="54" t="s">
        <v>4</v>
      </c>
      <c r="F330" s="55">
        <v>3</v>
      </c>
      <c r="K330" s="56"/>
    </row>
    <row r="331" spans="1:76" ht="14.4" x14ac:dyDescent="0.3">
      <c r="A331" s="46" t="s">
        <v>4</v>
      </c>
      <c r="B331" s="47" t="s">
        <v>401</v>
      </c>
      <c r="C331" s="148" t="s">
        <v>567</v>
      </c>
      <c r="D331" s="149"/>
      <c r="E331" s="48" t="s">
        <v>74</v>
      </c>
      <c r="F331" s="48" t="s">
        <v>74</v>
      </c>
      <c r="G331" s="48" t="s">
        <v>74</v>
      </c>
      <c r="H331" s="26">
        <f>SUM(H332:H332)</f>
        <v>0</v>
      </c>
      <c r="I331" s="26">
        <f>SUM(I332:I332)</f>
        <v>0</v>
      </c>
      <c r="J331" s="26">
        <f>SUM(J332:J332)</f>
        <v>0</v>
      </c>
      <c r="K331" s="49" t="s">
        <v>4</v>
      </c>
      <c r="AI331" s="32" t="s">
        <v>4</v>
      </c>
      <c r="AS331" s="26">
        <f>SUM(AJ332:AJ332)</f>
        <v>0</v>
      </c>
      <c r="AT331" s="26">
        <f>SUM(AK332:AK332)</f>
        <v>0</v>
      </c>
      <c r="AU331" s="26">
        <f>SUM(AL332:AL332)</f>
        <v>0</v>
      </c>
    </row>
    <row r="332" spans="1:76" ht="14.4" x14ac:dyDescent="0.3">
      <c r="A332" s="1" t="s">
        <v>568</v>
      </c>
      <c r="B332" s="2" t="s">
        <v>569</v>
      </c>
      <c r="C332" s="75" t="s">
        <v>570</v>
      </c>
      <c r="D332" s="70"/>
      <c r="E332" s="2" t="s">
        <v>216</v>
      </c>
      <c r="F332" s="50">
        <v>42.98</v>
      </c>
      <c r="G332" s="50">
        <v>0</v>
      </c>
      <c r="H332" s="50">
        <f>ROUND(F332*AO332,2)</f>
        <v>0</v>
      </c>
      <c r="I332" s="50">
        <f>ROUND(F332*AP332,2)</f>
        <v>0</v>
      </c>
      <c r="J332" s="50">
        <f>ROUND(F332*G332,2)</f>
        <v>0</v>
      </c>
      <c r="K332" s="51" t="s">
        <v>116</v>
      </c>
      <c r="Z332" s="50">
        <f>ROUND(IF(AQ332="5",BJ332,0),2)</f>
        <v>0</v>
      </c>
      <c r="AB332" s="50">
        <f>ROUND(IF(AQ332="1",BH332,0),2)</f>
        <v>0</v>
      </c>
      <c r="AC332" s="50">
        <f>ROUND(IF(AQ332="1",BI332,0),2)</f>
        <v>0</v>
      </c>
      <c r="AD332" s="50">
        <f>ROUND(IF(AQ332="7",BH332,0),2)</f>
        <v>0</v>
      </c>
      <c r="AE332" s="50">
        <f>ROUND(IF(AQ332="7",BI332,0),2)</f>
        <v>0</v>
      </c>
      <c r="AF332" s="50">
        <f>ROUND(IF(AQ332="2",BH332,0),2)</f>
        <v>0</v>
      </c>
      <c r="AG332" s="50">
        <f>ROUND(IF(AQ332="2",BI332,0),2)</f>
        <v>0</v>
      </c>
      <c r="AH332" s="50">
        <f>ROUND(IF(AQ332="0",BJ332,0),2)</f>
        <v>0</v>
      </c>
      <c r="AI332" s="32" t="s">
        <v>4</v>
      </c>
      <c r="AJ332" s="50">
        <f>IF(AN332=0,J332,0)</f>
        <v>0</v>
      </c>
      <c r="AK332" s="50">
        <f>IF(AN332=12,J332,0)</f>
        <v>0</v>
      </c>
      <c r="AL332" s="50">
        <f>IF(AN332=21,J332,0)</f>
        <v>0</v>
      </c>
      <c r="AN332" s="50">
        <v>21</v>
      </c>
      <c r="AO332" s="50">
        <f>G332*0.825525948</f>
        <v>0</v>
      </c>
      <c r="AP332" s="50">
        <f>G332*(1-0.825525948)</f>
        <v>0</v>
      </c>
      <c r="AQ332" s="52" t="s">
        <v>112</v>
      </c>
      <c r="AV332" s="50">
        <f>ROUND(AW332+AX332,2)</f>
        <v>0</v>
      </c>
      <c r="AW332" s="50">
        <f>ROUND(F332*AO332,2)</f>
        <v>0</v>
      </c>
      <c r="AX332" s="50">
        <f>ROUND(F332*AP332,2)</f>
        <v>0</v>
      </c>
      <c r="AY332" s="52" t="s">
        <v>571</v>
      </c>
      <c r="AZ332" s="52" t="s">
        <v>572</v>
      </c>
      <c r="BA332" s="32" t="s">
        <v>119</v>
      </c>
      <c r="BC332" s="50">
        <f>AW332+AX332</f>
        <v>0</v>
      </c>
      <c r="BD332" s="50">
        <f>G332/(100-BE332)*100</f>
        <v>0</v>
      </c>
      <c r="BE332" s="50">
        <v>0</v>
      </c>
      <c r="BF332" s="50">
        <f>332</f>
        <v>332</v>
      </c>
      <c r="BH332" s="50">
        <f>F332*AO332</f>
        <v>0</v>
      </c>
      <c r="BI332" s="50">
        <f>F332*AP332</f>
        <v>0</v>
      </c>
      <c r="BJ332" s="50">
        <f>F332*G332</f>
        <v>0</v>
      </c>
      <c r="BK332" s="50"/>
      <c r="BL332" s="50">
        <v>56</v>
      </c>
      <c r="BW332" s="50">
        <v>21</v>
      </c>
      <c r="BX332" s="3" t="s">
        <v>570</v>
      </c>
    </row>
    <row r="333" spans="1:76" ht="14.4" x14ac:dyDescent="0.3">
      <c r="A333" s="53"/>
      <c r="C333" s="54" t="s">
        <v>573</v>
      </c>
      <c r="D333" s="54" t="s">
        <v>4</v>
      </c>
      <c r="F333" s="55">
        <v>42.98</v>
      </c>
      <c r="K333" s="56"/>
    </row>
    <row r="334" spans="1:76" ht="14.4" x14ac:dyDescent="0.3">
      <c r="A334" s="46" t="s">
        <v>4</v>
      </c>
      <c r="B334" s="47" t="s">
        <v>413</v>
      </c>
      <c r="C334" s="148" t="s">
        <v>574</v>
      </c>
      <c r="D334" s="149"/>
      <c r="E334" s="48" t="s">
        <v>74</v>
      </c>
      <c r="F334" s="48" t="s">
        <v>74</v>
      </c>
      <c r="G334" s="48" t="s">
        <v>74</v>
      </c>
      <c r="H334" s="26">
        <f>SUM(H335:H337)</f>
        <v>0</v>
      </c>
      <c r="I334" s="26">
        <f>SUM(I335:I337)</f>
        <v>0</v>
      </c>
      <c r="J334" s="26">
        <f>SUM(J335:J337)</f>
        <v>0</v>
      </c>
      <c r="K334" s="49" t="s">
        <v>4</v>
      </c>
      <c r="AI334" s="32" t="s">
        <v>4</v>
      </c>
      <c r="AS334" s="26">
        <f>SUM(AJ335:AJ337)</f>
        <v>0</v>
      </c>
      <c r="AT334" s="26">
        <f>SUM(AK335:AK337)</f>
        <v>0</v>
      </c>
      <c r="AU334" s="26">
        <f>SUM(AL335:AL337)</f>
        <v>0</v>
      </c>
    </row>
    <row r="335" spans="1:76" ht="14.4" x14ac:dyDescent="0.3">
      <c r="A335" s="1" t="s">
        <v>575</v>
      </c>
      <c r="B335" s="2" t="s">
        <v>576</v>
      </c>
      <c r="C335" s="75" t="s">
        <v>577</v>
      </c>
      <c r="D335" s="70"/>
      <c r="E335" s="2" t="s">
        <v>216</v>
      </c>
      <c r="F335" s="50">
        <v>42.98</v>
      </c>
      <c r="G335" s="50">
        <v>0</v>
      </c>
      <c r="H335" s="50">
        <f>ROUND(F335*AO335,2)</f>
        <v>0</v>
      </c>
      <c r="I335" s="50">
        <f>ROUND(F335*AP335,2)</f>
        <v>0</v>
      </c>
      <c r="J335" s="50">
        <f>ROUND(F335*G335,2)</f>
        <v>0</v>
      </c>
      <c r="K335" s="51" t="s">
        <v>116</v>
      </c>
      <c r="Z335" s="50">
        <f>ROUND(IF(AQ335="5",BJ335,0),2)</f>
        <v>0</v>
      </c>
      <c r="AB335" s="50">
        <f>ROUND(IF(AQ335="1",BH335,0),2)</f>
        <v>0</v>
      </c>
      <c r="AC335" s="50">
        <f>ROUND(IF(AQ335="1",BI335,0),2)</f>
        <v>0</v>
      </c>
      <c r="AD335" s="50">
        <f>ROUND(IF(AQ335="7",BH335,0),2)</f>
        <v>0</v>
      </c>
      <c r="AE335" s="50">
        <f>ROUND(IF(AQ335="7",BI335,0),2)</f>
        <v>0</v>
      </c>
      <c r="AF335" s="50">
        <f>ROUND(IF(AQ335="2",BH335,0),2)</f>
        <v>0</v>
      </c>
      <c r="AG335" s="50">
        <f>ROUND(IF(AQ335="2",BI335,0),2)</f>
        <v>0</v>
      </c>
      <c r="AH335" s="50">
        <f>ROUND(IF(AQ335="0",BJ335,0),2)</f>
        <v>0</v>
      </c>
      <c r="AI335" s="32" t="s">
        <v>4</v>
      </c>
      <c r="AJ335" s="50">
        <f>IF(AN335=0,J335,0)</f>
        <v>0</v>
      </c>
      <c r="AK335" s="50">
        <f>IF(AN335=12,J335,0)</f>
        <v>0</v>
      </c>
      <c r="AL335" s="50">
        <f>IF(AN335=21,J335,0)</f>
        <v>0</v>
      </c>
      <c r="AN335" s="50">
        <v>21</v>
      </c>
      <c r="AO335" s="50">
        <f>G335*0.05643586</f>
        <v>0</v>
      </c>
      <c r="AP335" s="50">
        <f>G335*(1-0.05643586)</f>
        <v>0</v>
      </c>
      <c r="AQ335" s="52" t="s">
        <v>112</v>
      </c>
      <c r="AV335" s="50">
        <f>ROUND(AW335+AX335,2)</f>
        <v>0</v>
      </c>
      <c r="AW335" s="50">
        <f>ROUND(F335*AO335,2)</f>
        <v>0</v>
      </c>
      <c r="AX335" s="50">
        <f>ROUND(F335*AP335,2)</f>
        <v>0</v>
      </c>
      <c r="AY335" s="52" t="s">
        <v>578</v>
      </c>
      <c r="AZ335" s="52" t="s">
        <v>572</v>
      </c>
      <c r="BA335" s="32" t="s">
        <v>119</v>
      </c>
      <c r="BC335" s="50">
        <f>AW335+AX335</f>
        <v>0</v>
      </c>
      <c r="BD335" s="50">
        <f>G335/(100-BE335)*100</f>
        <v>0</v>
      </c>
      <c r="BE335" s="50">
        <v>0</v>
      </c>
      <c r="BF335" s="50">
        <f>335</f>
        <v>335</v>
      </c>
      <c r="BH335" s="50">
        <f>F335*AO335</f>
        <v>0</v>
      </c>
      <c r="BI335" s="50">
        <f>F335*AP335</f>
        <v>0</v>
      </c>
      <c r="BJ335" s="50">
        <f>F335*G335</f>
        <v>0</v>
      </c>
      <c r="BK335" s="50"/>
      <c r="BL335" s="50">
        <v>59</v>
      </c>
      <c r="BW335" s="50">
        <v>21</v>
      </c>
      <c r="BX335" s="3" t="s">
        <v>577</v>
      </c>
    </row>
    <row r="336" spans="1:76" ht="14.4" x14ac:dyDescent="0.3">
      <c r="A336" s="53"/>
      <c r="C336" s="54" t="s">
        <v>573</v>
      </c>
      <c r="D336" s="54" t="s">
        <v>4</v>
      </c>
      <c r="F336" s="55">
        <v>42.98</v>
      </c>
      <c r="K336" s="56"/>
    </row>
    <row r="337" spans="1:76" ht="14.4" x14ac:dyDescent="0.3">
      <c r="A337" s="1" t="s">
        <v>579</v>
      </c>
      <c r="B337" s="2" t="s">
        <v>580</v>
      </c>
      <c r="C337" s="75" t="s">
        <v>581</v>
      </c>
      <c r="D337" s="70"/>
      <c r="E337" s="2" t="s">
        <v>216</v>
      </c>
      <c r="F337" s="50">
        <v>47.277999999999999</v>
      </c>
      <c r="G337" s="50">
        <v>0</v>
      </c>
      <c r="H337" s="50">
        <f>ROUND(F337*AO337,2)</f>
        <v>0</v>
      </c>
      <c r="I337" s="50">
        <f>ROUND(F337*AP337,2)</f>
        <v>0</v>
      </c>
      <c r="J337" s="50">
        <f>ROUND(F337*G337,2)</f>
        <v>0</v>
      </c>
      <c r="K337" s="51" t="s">
        <v>116</v>
      </c>
      <c r="Z337" s="50">
        <f>ROUND(IF(AQ337="5",BJ337,0),2)</f>
        <v>0</v>
      </c>
      <c r="AB337" s="50">
        <f>ROUND(IF(AQ337="1",BH337,0),2)</f>
        <v>0</v>
      </c>
      <c r="AC337" s="50">
        <f>ROUND(IF(AQ337="1",BI337,0),2)</f>
        <v>0</v>
      </c>
      <c r="AD337" s="50">
        <f>ROUND(IF(AQ337="7",BH337,0),2)</f>
        <v>0</v>
      </c>
      <c r="AE337" s="50">
        <f>ROUND(IF(AQ337="7",BI337,0),2)</f>
        <v>0</v>
      </c>
      <c r="AF337" s="50">
        <f>ROUND(IF(AQ337="2",BH337,0),2)</f>
        <v>0</v>
      </c>
      <c r="AG337" s="50">
        <f>ROUND(IF(AQ337="2",BI337,0),2)</f>
        <v>0</v>
      </c>
      <c r="AH337" s="50">
        <f>ROUND(IF(AQ337="0",BJ337,0),2)</f>
        <v>0</v>
      </c>
      <c r="AI337" s="32" t="s">
        <v>4</v>
      </c>
      <c r="AJ337" s="50">
        <f>IF(AN337=0,J337,0)</f>
        <v>0</v>
      </c>
      <c r="AK337" s="50">
        <f>IF(AN337=12,J337,0)</f>
        <v>0</v>
      </c>
      <c r="AL337" s="50">
        <f>IF(AN337=21,J337,0)</f>
        <v>0</v>
      </c>
      <c r="AN337" s="50">
        <v>21</v>
      </c>
      <c r="AO337" s="50">
        <f>G337*1</f>
        <v>0</v>
      </c>
      <c r="AP337" s="50">
        <f>G337*(1-1)</f>
        <v>0</v>
      </c>
      <c r="AQ337" s="52" t="s">
        <v>112</v>
      </c>
      <c r="AV337" s="50">
        <f>ROUND(AW337+AX337,2)</f>
        <v>0</v>
      </c>
      <c r="AW337" s="50">
        <f>ROUND(F337*AO337,2)</f>
        <v>0</v>
      </c>
      <c r="AX337" s="50">
        <f>ROUND(F337*AP337,2)</f>
        <v>0</v>
      </c>
      <c r="AY337" s="52" t="s">
        <v>578</v>
      </c>
      <c r="AZ337" s="52" t="s">
        <v>572</v>
      </c>
      <c r="BA337" s="32" t="s">
        <v>119</v>
      </c>
      <c r="BC337" s="50">
        <f>AW337+AX337</f>
        <v>0</v>
      </c>
      <c r="BD337" s="50">
        <f>G337/(100-BE337)*100</f>
        <v>0</v>
      </c>
      <c r="BE337" s="50">
        <v>0</v>
      </c>
      <c r="BF337" s="50">
        <f>337</f>
        <v>337</v>
      </c>
      <c r="BH337" s="50">
        <f>F337*AO337</f>
        <v>0</v>
      </c>
      <c r="BI337" s="50">
        <f>F337*AP337</f>
        <v>0</v>
      </c>
      <c r="BJ337" s="50">
        <f>F337*G337</f>
        <v>0</v>
      </c>
      <c r="BK337" s="50"/>
      <c r="BL337" s="50">
        <v>59</v>
      </c>
      <c r="BW337" s="50">
        <v>21</v>
      </c>
      <c r="BX337" s="3" t="s">
        <v>581</v>
      </c>
    </row>
    <row r="338" spans="1:76" ht="14.4" x14ac:dyDescent="0.3">
      <c r="A338" s="53"/>
      <c r="C338" s="54" t="s">
        <v>573</v>
      </c>
      <c r="D338" s="54" t="s">
        <v>4</v>
      </c>
      <c r="F338" s="55">
        <v>42.98</v>
      </c>
      <c r="K338" s="56"/>
    </row>
    <row r="339" spans="1:76" ht="14.4" x14ac:dyDescent="0.3">
      <c r="A339" s="53"/>
      <c r="C339" s="54" t="s">
        <v>582</v>
      </c>
      <c r="D339" s="54" t="s">
        <v>4</v>
      </c>
      <c r="F339" s="55">
        <v>4.298</v>
      </c>
      <c r="K339" s="56"/>
    </row>
    <row r="340" spans="1:76" ht="14.4" x14ac:dyDescent="0.3">
      <c r="A340" s="46" t="s">
        <v>4</v>
      </c>
      <c r="B340" s="47" t="s">
        <v>420</v>
      </c>
      <c r="C340" s="148" t="s">
        <v>583</v>
      </c>
      <c r="D340" s="149"/>
      <c r="E340" s="48" t="s">
        <v>74</v>
      </c>
      <c r="F340" s="48" t="s">
        <v>74</v>
      </c>
      <c r="G340" s="48" t="s">
        <v>74</v>
      </c>
      <c r="H340" s="26">
        <f>SUM(H341:H379)</f>
        <v>0</v>
      </c>
      <c r="I340" s="26">
        <f>SUM(I341:I379)</f>
        <v>0</v>
      </c>
      <c r="J340" s="26">
        <f>SUM(J341:J379)</f>
        <v>0</v>
      </c>
      <c r="K340" s="49" t="s">
        <v>4</v>
      </c>
      <c r="AI340" s="32" t="s">
        <v>4</v>
      </c>
      <c r="AS340" s="26">
        <f>SUM(AJ341:AJ379)</f>
        <v>0</v>
      </c>
      <c r="AT340" s="26">
        <f>SUM(AK341:AK379)</f>
        <v>0</v>
      </c>
      <c r="AU340" s="26">
        <f>SUM(AL341:AL379)</f>
        <v>0</v>
      </c>
    </row>
    <row r="341" spans="1:76" ht="14.4" x14ac:dyDescent="0.3">
      <c r="A341" s="1" t="s">
        <v>584</v>
      </c>
      <c r="B341" s="2" t="s">
        <v>585</v>
      </c>
      <c r="C341" s="75" t="s">
        <v>586</v>
      </c>
      <c r="D341" s="70"/>
      <c r="E341" s="2" t="s">
        <v>216</v>
      </c>
      <c r="F341" s="50">
        <v>263.238</v>
      </c>
      <c r="G341" s="50">
        <v>0</v>
      </c>
      <c r="H341" s="50">
        <f>ROUND(F341*AO341,2)</f>
        <v>0</v>
      </c>
      <c r="I341" s="50">
        <f>ROUND(F341*AP341,2)</f>
        <v>0</v>
      </c>
      <c r="J341" s="50">
        <f>ROUND(F341*G341,2)</f>
        <v>0</v>
      </c>
      <c r="K341" s="51" t="s">
        <v>116</v>
      </c>
      <c r="Z341" s="50">
        <f>ROUND(IF(AQ341="5",BJ341,0),2)</f>
        <v>0</v>
      </c>
      <c r="AB341" s="50">
        <f>ROUND(IF(AQ341="1",BH341,0),2)</f>
        <v>0</v>
      </c>
      <c r="AC341" s="50">
        <f>ROUND(IF(AQ341="1",BI341,0),2)</f>
        <v>0</v>
      </c>
      <c r="AD341" s="50">
        <f>ROUND(IF(AQ341="7",BH341,0),2)</f>
        <v>0</v>
      </c>
      <c r="AE341" s="50">
        <f>ROUND(IF(AQ341="7",BI341,0),2)</f>
        <v>0</v>
      </c>
      <c r="AF341" s="50">
        <f>ROUND(IF(AQ341="2",BH341,0),2)</f>
        <v>0</v>
      </c>
      <c r="AG341" s="50">
        <f>ROUND(IF(AQ341="2",BI341,0),2)</f>
        <v>0</v>
      </c>
      <c r="AH341" s="50">
        <f>ROUND(IF(AQ341="0",BJ341,0),2)</f>
        <v>0</v>
      </c>
      <c r="AI341" s="32" t="s">
        <v>4</v>
      </c>
      <c r="AJ341" s="50">
        <f>IF(AN341=0,J341,0)</f>
        <v>0</v>
      </c>
      <c r="AK341" s="50">
        <f>IF(AN341=12,J341,0)</f>
        <v>0</v>
      </c>
      <c r="AL341" s="50">
        <f>IF(AN341=21,J341,0)</f>
        <v>0</v>
      </c>
      <c r="AN341" s="50">
        <v>21</v>
      </c>
      <c r="AO341" s="50">
        <f>G341*0.109146338</f>
        <v>0</v>
      </c>
      <c r="AP341" s="50">
        <f>G341*(1-0.109146338)</f>
        <v>0</v>
      </c>
      <c r="AQ341" s="52" t="s">
        <v>112</v>
      </c>
      <c r="AV341" s="50">
        <f>ROUND(AW341+AX341,2)</f>
        <v>0</v>
      </c>
      <c r="AW341" s="50">
        <f>ROUND(F341*AO341,2)</f>
        <v>0</v>
      </c>
      <c r="AX341" s="50">
        <f>ROUND(F341*AP341,2)</f>
        <v>0</v>
      </c>
      <c r="AY341" s="52" t="s">
        <v>587</v>
      </c>
      <c r="AZ341" s="52" t="s">
        <v>588</v>
      </c>
      <c r="BA341" s="32" t="s">
        <v>119</v>
      </c>
      <c r="BC341" s="50">
        <f>AW341+AX341</f>
        <v>0</v>
      </c>
      <c r="BD341" s="50">
        <f>G341/(100-BE341)*100</f>
        <v>0</v>
      </c>
      <c r="BE341" s="50">
        <v>0</v>
      </c>
      <c r="BF341" s="50">
        <f>341</f>
        <v>341</v>
      </c>
      <c r="BH341" s="50">
        <f>F341*AO341</f>
        <v>0</v>
      </c>
      <c r="BI341" s="50">
        <f>F341*AP341</f>
        <v>0</v>
      </c>
      <c r="BJ341" s="50">
        <f>F341*G341</f>
        <v>0</v>
      </c>
      <c r="BK341" s="50"/>
      <c r="BL341" s="50">
        <v>61</v>
      </c>
      <c r="BW341" s="50">
        <v>21</v>
      </c>
      <c r="BX341" s="3" t="s">
        <v>586</v>
      </c>
    </row>
    <row r="342" spans="1:76" ht="14.4" x14ac:dyDescent="0.3">
      <c r="A342" s="53"/>
      <c r="C342" s="54" t="s">
        <v>589</v>
      </c>
      <c r="D342" s="54" t="s">
        <v>590</v>
      </c>
      <c r="F342" s="55">
        <v>25.9025</v>
      </c>
      <c r="K342" s="56"/>
    </row>
    <row r="343" spans="1:76" ht="14.4" x14ac:dyDescent="0.3">
      <c r="A343" s="53"/>
      <c r="C343" s="54" t="s">
        <v>591</v>
      </c>
      <c r="D343" s="54" t="s">
        <v>592</v>
      </c>
      <c r="F343" s="55">
        <v>9.2609999999999992</v>
      </c>
      <c r="K343" s="56"/>
    </row>
    <row r="344" spans="1:76" ht="14.4" x14ac:dyDescent="0.3">
      <c r="A344" s="53"/>
      <c r="C344" s="54" t="s">
        <v>593</v>
      </c>
      <c r="D344" s="54" t="s">
        <v>594</v>
      </c>
      <c r="F344" s="55">
        <v>13.275</v>
      </c>
      <c r="K344" s="56"/>
    </row>
    <row r="345" spans="1:76" ht="14.4" x14ac:dyDescent="0.3">
      <c r="A345" s="53"/>
      <c r="C345" s="54" t="s">
        <v>595</v>
      </c>
      <c r="D345" s="54" t="s">
        <v>596</v>
      </c>
      <c r="F345" s="55">
        <v>41.21</v>
      </c>
      <c r="K345" s="56"/>
    </row>
    <row r="346" spans="1:76" ht="14.4" x14ac:dyDescent="0.3">
      <c r="A346" s="53"/>
      <c r="C346" s="54" t="s">
        <v>597</v>
      </c>
      <c r="D346" s="54" t="s">
        <v>598</v>
      </c>
      <c r="F346" s="55">
        <v>7.7759999999999998</v>
      </c>
      <c r="K346" s="56"/>
    </row>
    <row r="347" spans="1:76" ht="14.4" x14ac:dyDescent="0.3">
      <c r="A347" s="53"/>
      <c r="C347" s="54" t="s">
        <v>599</v>
      </c>
      <c r="D347" s="54" t="s">
        <v>600</v>
      </c>
      <c r="F347" s="55">
        <v>34.905000000000001</v>
      </c>
      <c r="K347" s="56"/>
    </row>
    <row r="348" spans="1:76" ht="14.4" x14ac:dyDescent="0.3">
      <c r="A348" s="53"/>
      <c r="C348" s="54" t="s">
        <v>601</v>
      </c>
      <c r="D348" s="54" t="s">
        <v>602</v>
      </c>
      <c r="F348" s="55">
        <v>6.4710000000000001</v>
      </c>
      <c r="K348" s="56"/>
    </row>
    <row r="349" spans="1:76" ht="14.4" x14ac:dyDescent="0.3">
      <c r="A349" s="53"/>
      <c r="C349" s="54" t="s">
        <v>603</v>
      </c>
      <c r="D349" s="54" t="s">
        <v>604</v>
      </c>
      <c r="F349" s="55">
        <v>28.307500000000001</v>
      </c>
      <c r="K349" s="56"/>
    </row>
    <row r="350" spans="1:76" ht="14.4" x14ac:dyDescent="0.3">
      <c r="A350" s="53"/>
      <c r="C350" s="54" t="s">
        <v>605</v>
      </c>
      <c r="D350" s="54" t="s">
        <v>606</v>
      </c>
      <c r="F350" s="55">
        <v>95.94</v>
      </c>
      <c r="K350" s="56"/>
    </row>
    <row r="351" spans="1:76" ht="14.4" x14ac:dyDescent="0.3">
      <c r="A351" s="53"/>
      <c r="C351" s="54" t="s">
        <v>607</v>
      </c>
      <c r="D351" s="54" t="s">
        <v>590</v>
      </c>
      <c r="F351" s="55">
        <v>-2.75</v>
      </c>
      <c r="K351" s="56"/>
    </row>
    <row r="352" spans="1:76" ht="14.4" x14ac:dyDescent="0.3">
      <c r="A352" s="53"/>
      <c r="C352" s="54" t="s">
        <v>466</v>
      </c>
      <c r="D352" s="54" t="s">
        <v>590</v>
      </c>
      <c r="F352" s="55">
        <v>-1.9350000000000001</v>
      </c>
      <c r="K352" s="56"/>
    </row>
    <row r="353" spans="1:11" ht="14.4" x14ac:dyDescent="0.3">
      <c r="A353" s="53"/>
      <c r="C353" s="54" t="s">
        <v>371</v>
      </c>
      <c r="D353" s="54" t="s">
        <v>596</v>
      </c>
      <c r="F353" s="55">
        <v>-5.8049999999999997</v>
      </c>
      <c r="K353" s="56"/>
    </row>
    <row r="354" spans="1:11" ht="14.4" x14ac:dyDescent="0.3">
      <c r="A354" s="53"/>
      <c r="C354" s="54" t="s">
        <v>608</v>
      </c>
      <c r="D354" s="54" t="s">
        <v>596</v>
      </c>
      <c r="F354" s="55">
        <v>-2.8050000000000002</v>
      </c>
      <c r="K354" s="56"/>
    </row>
    <row r="355" spans="1:11" ht="14.4" x14ac:dyDescent="0.3">
      <c r="A355" s="53"/>
      <c r="C355" s="54" t="s">
        <v>466</v>
      </c>
      <c r="D355" s="54" t="s">
        <v>600</v>
      </c>
      <c r="F355" s="55">
        <v>-1.9350000000000001</v>
      </c>
      <c r="K355" s="56"/>
    </row>
    <row r="356" spans="1:11" ht="14.4" x14ac:dyDescent="0.3">
      <c r="A356" s="53"/>
      <c r="C356" s="54" t="s">
        <v>609</v>
      </c>
      <c r="D356" s="54" t="s">
        <v>600</v>
      </c>
      <c r="F356" s="55">
        <v>-5.125</v>
      </c>
      <c r="K356" s="56"/>
    </row>
    <row r="357" spans="1:11" ht="14.4" x14ac:dyDescent="0.3">
      <c r="A357" s="53"/>
      <c r="C357" s="54" t="s">
        <v>610</v>
      </c>
      <c r="D357" s="54" t="s">
        <v>604</v>
      </c>
      <c r="F357" s="55">
        <v>-7.35</v>
      </c>
      <c r="K357" s="56"/>
    </row>
    <row r="358" spans="1:11" ht="14.4" x14ac:dyDescent="0.3">
      <c r="A358" s="53"/>
      <c r="C358" s="54" t="s">
        <v>368</v>
      </c>
      <c r="D358" s="54" t="s">
        <v>604</v>
      </c>
      <c r="F358" s="55">
        <v>-4.2625000000000002</v>
      </c>
      <c r="K358" s="56"/>
    </row>
    <row r="359" spans="1:11" ht="14.4" x14ac:dyDescent="0.3">
      <c r="A359" s="53"/>
      <c r="C359" s="54" t="s">
        <v>611</v>
      </c>
      <c r="D359" s="54" t="s">
        <v>604</v>
      </c>
      <c r="F359" s="55">
        <v>-3.87</v>
      </c>
      <c r="K359" s="56"/>
    </row>
    <row r="360" spans="1:11" ht="14.4" x14ac:dyDescent="0.3">
      <c r="A360" s="53"/>
      <c r="C360" s="54" t="s">
        <v>467</v>
      </c>
      <c r="D360" s="54" t="s">
        <v>604</v>
      </c>
      <c r="F360" s="55">
        <v>-1.72</v>
      </c>
      <c r="K360" s="56"/>
    </row>
    <row r="361" spans="1:11" ht="14.4" x14ac:dyDescent="0.3">
      <c r="A361" s="53"/>
      <c r="C361" s="54" t="s">
        <v>466</v>
      </c>
      <c r="D361" s="54" t="s">
        <v>606</v>
      </c>
      <c r="F361" s="55">
        <v>-1.9350000000000001</v>
      </c>
      <c r="K361" s="56"/>
    </row>
    <row r="362" spans="1:11" ht="14.4" x14ac:dyDescent="0.3">
      <c r="A362" s="53"/>
      <c r="C362" s="54" t="s">
        <v>370</v>
      </c>
      <c r="D362" s="54" t="s">
        <v>606</v>
      </c>
      <c r="F362" s="55">
        <v>-11.275</v>
      </c>
      <c r="K362" s="56"/>
    </row>
    <row r="363" spans="1:11" ht="14.4" x14ac:dyDescent="0.3">
      <c r="A363" s="53"/>
      <c r="C363" s="54" t="s">
        <v>611</v>
      </c>
      <c r="D363" s="54" t="s">
        <v>606</v>
      </c>
      <c r="F363" s="55">
        <v>-3.87</v>
      </c>
      <c r="K363" s="56"/>
    </row>
    <row r="364" spans="1:11" ht="14.4" x14ac:dyDescent="0.3">
      <c r="A364" s="53"/>
      <c r="C364" s="54" t="s">
        <v>369</v>
      </c>
      <c r="D364" s="54" t="s">
        <v>606</v>
      </c>
      <c r="F364" s="55">
        <v>-11.6875</v>
      </c>
      <c r="K364" s="56"/>
    </row>
    <row r="365" spans="1:11" ht="14.4" x14ac:dyDescent="0.3">
      <c r="A365" s="53"/>
      <c r="C365" s="54" t="s">
        <v>610</v>
      </c>
      <c r="D365" s="54" t="s">
        <v>606</v>
      </c>
      <c r="F365" s="55">
        <v>-7.35</v>
      </c>
      <c r="K365" s="56"/>
    </row>
    <row r="366" spans="1:11" ht="14.4" x14ac:dyDescent="0.3">
      <c r="A366" s="53"/>
      <c r="C366" s="54" t="s">
        <v>612</v>
      </c>
      <c r="D366" s="54" t="s">
        <v>373</v>
      </c>
      <c r="F366" s="55">
        <v>53.4</v>
      </c>
      <c r="K366" s="56"/>
    </row>
    <row r="367" spans="1:11" ht="14.4" x14ac:dyDescent="0.3">
      <c r="A367" s="53"/>
      <c r="C367" s="54" t="s">
        <v>613</v>
      </c>
      <c r="D367" s="54" t="s">
        <v>4</v>
      </c>
      <c r="F367" s="55">
        <v>-6.2350000000000003</v>
      </c>
      <c r="K367" s="56"/>
    </row>
    <row r="368" spans="1:11" ht="14.4" x14ac:dyDescent="0.3">
      <c r="A368" s="53"/>
      <c r="C368" s="54" t="s">
        <v>375</v>
      </c>
      <c r="D368" s="54" t="s">
        <v>373</v>
      </c>
      <c r="F368" s="55">
        <v>25.8</v>
      </c>
      <c r="K368" s="56"/>
    </row>
    <row r="369" spans="1:76" ht="14.4" x14ac:dyDescent="0.3">
      <c r="A369" s="53"/>
      <c r="C369" s="54" t="s">
        <v>614</v>
      </c>
      <c r="D369" s="54" t="s">
        <v>373</v>
      </c>
      <c r="F369" s="55">
        <v>0.9</v>
      </c>
      <c r="K369" s="56"/>
    </row>
    <row r="370" spans="1:76" ht="14.4" x14ac:dyDescent="0.3">
      <c r="A370" s="1" t="s">
        <v>615</v>
      </c>
      <c r="B370" s="2" t="s">
        <v>616</v>
      </c>
      <c r="C370" s="75" t="s">
        <v>617</v>
      </c>
      <c r="D370" s="70"/>
      <c r="E370" s="2" t="s">
        <v>216</v>
      </c>
      <c r="F370" s="50">
        <v>84.864500000000007</v>
      </c>
      <c r="G370" s="50">
        <v>0</v>
      </c>
      <c r="H370" s="50">
        <f>ROUND(F370*AO370,2)</f>
        <v>0</v>
      </c>
      <c r="I370" s="50">
        <f>ROUND(F370*AP370,2)</f>
        <v>0</v>
      </c>
      <c r="J370" s="50">
        <f>ROUND(F370*G370,2)</f>
        <v>0</v>
      </c>
      <c r="K370" s="51" t="s">
        <v>116</v>
      </c>
      <c r="Z370" s="50">
        <f>ROUND(IF(AQ370="5",BJ370,0),2)</f>
        <v>0</v>
      </c>
      <c r="AB370" s="50">
        <f>ROUND(IF(AQ370="1",BH370,0),2)</f>
        <v>0</v>
      </c>
      <c r="AC370" s="50">
        <f>ROUND(IF(AQ370="1",BI370,0),2)</f>
        <v>0</v>
      </c>
      <c r="AD370" s="50">
        <f>ROUND(IF(AQ370="7",BH370,0),2)</f>
        <v>0</v>
      </c>
      <c r="AE370" s="50">
        <f>ROUND(IF(AQ370="7",BI370,0),2)</f>
        <v>0</v>
      </c>
      <c r="AF370" s="50">
        <f>ROUND(IF(AQ370="2",BH370,0),2)</f>
        <v>0</v>
      </c>
      <c r="AG370" s="50">
        <f>ROUND(IF(AQ370="2",BI370,0),2)</f>
        <v>0</v>
      </c>
      <c r="AH370" s="50">
        <f>ROUND(IF(AQ370="0",BJ370,0),2)</f>
        <v>0</v>
      </c>
      <c r="AI370" s="32" t="s">
        <v>4</v>
      </c>
      <c r="AJ370" s="50">
        <f>IF(AN370=0,J370,0)</f>
        <v>0</v>
      </c>
      <c r="AK370" s="50">
        <f>IF(AN370=12,J370,0)</f>
        <v>0</v>
      </c>
      <c r="AL370" s="50">
        <f>IF(AN370=21,J370,0)</f>
        <v>0</v>
      </c>
      <c r="AN370" s="50">
        <v>21</v>
      </c>
      <c r="AO370" s="50">
        <f>G370*0.153202014</f>
        <v>0</v>
      </c>
      <c r="AP370" s="50">
        <f>G370*(1-0.153202014)</f>
        <v>0</v>
      </c>
      <c r="AQ370" s="52" t="s">
        <v>112</v>
      </c>
      <c r="AV370" s="50">
        <f>ROUND(AW370+AX370,2)</f>
        <v>0</v>
      </c>
      <c r="AW370" s="50">
        <f>ROUND(F370*AO370,2)</f>
        <v>0</v>
      </c>
      <c r="AX370" s="50">
        <f>ROUND(F370*AP370,2)</f>
        <v>0</v>
      </c>
      <c r="AY370" s="52" t="s">
        <v>587</v>
      </c>
      <c r="AZ370" s="52" t="s">
        <v>588</v>
      </c>
      <c r="BA370" s="32" t="s">
        <v>119</v>
      </c>
      <c r="BC370" s="50">
        <f>AW370+AX370</f>
        <v>0</v>
      </c>
      <c r="BD370" s="50">
        <f>G370/(100-BE370)*100</f>
        <v>0</v>
      </c>
      <c r="BE370" s="50">
        <v>0</v>
      </c>
      <c r="BF370" s="50">
        <f>370</f>
        <v>370</v>
      </c>
      <c r="BH370" s="50">
        <f>F370*AO370</f>
        <v>0</v>
      </c>
      <c r="BI370" s="50">
        <f>F370*AP370</f>
        <v>0</v>
      </c>
      <c r="BJ370" s="50">
        <f>F370*G370</f>
        <v>0</v>
      </c>
      <c r="BK370" s="50"/>
      <c r="BL370" s="50">
        <v>61</v>
      </c>
      <c r="BW370" s="50">
        <v>21</v>
      </c>
      <c r="BX370" s="3" t="s">
        <v>617</v>
      </c>
    </row>
    <row r="371" spans="1:76" ht="14.4" x14ac:dyDescent="0.3">
      <c r="A371" s="53"/>
      <c r="C371" s="54" t="s">
        <v>618</v>
      </c>
      <c r="D371" s="54" t="s">
        <v>592</v>
      </c>
      <c r="F371" s="55">
        <v>24.1815</v>
      </c>
      <c r="K371" s="56"/>
    </row>
    <row r="372" spans="1:76" ht="14.4" x14ac:dyDescent="0.3">
      <c r="A372" s="53"/>
      <c r="C372" s="54" t="s">
        <v>619</v>
      </c>
      <c r="D372" s="54" t="s">
        <v>594</v>
      </c>
      <c r="F372" s="55">
        <v>34.662500000000001</v>
      </c>
      <c r="K372" s="56"/>
    </row>
    <row r="373" spans="1:76" ht="14.4" x14ac:dyDescent="0.3">
      <c r="A373" s="53"/>
      <c r="C373" s="54" t="s">
        <v>620</v>
      </c>
      <c r="D373" s="54" t="s">
        <v>598</v>
      </c>
      <c r="F373" s="55">
        <v>20.303999999999998</v>
      </c>
      <c r="K373" s="56"/>
    </row>
    <row r="374" spans="1:76" ht="14.4" x14ac:dyDescent="0.3">
      <c r="A374" s="53"/>
      <c r="C374" s="54" t="s">
        <v>621</v>
      </c>
      <c r="D374" s="54" t="s">
        <v>602</v>
      </c>
      <c r="F374" s="55">
        <v>16.8965</v>
      </c>
      <c r="K374" s="56"/>
    </row>
    <row r="375" spans="1:76" ht="14.4" x14ac:dyDescent="0.3">
      <c r="A375" s="53"/>
      <c r="C375" s="54" t="s">
        <v>611</v>
      </c>
      <c r="D375" s="54" t="s">
        <v>592</v>
      </c>
      <c r="F375" s="55">
        <v>-3.87</v>
      </c>
      <c r="K375" s="56"/>
    </row>
    <row r="376" spans="1:76" ht="14.4" x14ac:dyDescent="0.3">
      <c r="A376" s="53"/>
      <c r="C376" s="54" t="s">
        <v>611</v>
      </c>
      <c r="D376" s="54" t="s">
        <v>594</v>
      </c>
      <c r="F376" s="55">
        <v>-3.87</v>
      </c>
      <c r="K376" s="56"/>
    </row>
    <row r="377" spans="1:76" ht="14.4" x14ac:dyDescent="0.3">
      <c r="A377" s="53"/>
      <c r="C377" s="54" t="s">
        <v>467</v>
      </c>
      <c r="D377" s="54" t="s">
        <v>598</v>
      </c>
      <c r="F377" s="55">
        <v>-1.72</v>
      </c>
      <c r="K377" s="56"/>
    </row>
    <row r="378" spans="1:76" ht="14.4" x14ac:dyDescent="0.3">
      <c r="A378" s="53"/>
      <c r="C378" s="54" t="s">
        <v>467</v>
      </c>
      <c r="D378" s="54" t="s">
        <v>602</v>
      </c>
      <c r="F378" s="55">
        <v>-1.72</v>
      </c>
      <c r="K378" s="56"/>
    </row>
    <row r="379" spans="1:76" ht="14.4" x14ac:dyDescent="0.3">
      <c r="A379" s="1" t="s">
        <v>622</v>
      </c>
      <c r="B379" s="2" t="s">
        <v>623</v>
      </c>
      <c r="C379" s="75" t="s">
        <v>624</v>
      </c>
      <c r="D379" s="70"/>
      <c r="E379" s="2" t="s">
        <v>216</v>
      </c>
      <c r="F379" s="50">
        <v>12.331</v>
      </c>
      <c r="G379" s="50">
        <v>0</v>
      </c>
      <c r="H379" s="50">
        <f>ROUND(F379*AO379,2)</f>
        <v>0</v>
      </c>
      <c r="I379" s="50">
        <f>ROUND(F379*AP379,2)</f>
        <v>0</v>
      </c>
      <c r="J379" s="50">
        <f>ROUND(F379*G379,2)</f>
        <v>0</v>
      </c>
      <c r="K379" s="51" t="s">
        <v>116</v>
      </c>
      <c r="Z379" s="50">
        <f>ROUND(IF(AQ379="5",BJ379,0),2)</f>
        <v>0</v>
      </c>
      <c r="AB379" s="50">
        <f>ROUND(IF(AQ379="1",BH379,0),2)</f>
        <v>0</v>
      </c>
      <c r="AC379" s="50">
        <f>ROUND(IF(AQ379="1",BI379,0),2)</f>
        <v>0</v>
      </c>
      <c r="AD379" s="50">
        <f>ROUND(IF(AQ379="7",BH379,0),2)</f>
        <v>0</v>
      </c>
      <c r="AE379" s="50">
        <f>ROUND(IF(AQ379="7",BI379,0),2)</f>
        <v>0</v>
      </c>
      <c r="AF379" s="50">
        <f>ROUND(IF(AQ379="2",BH379,0),2)</f>
        <v>0</v>
      </c>
      <c r="AG379" s="50">
        <f>ROUND(IF(AQ379="2",BI379,0),2)</f>
        <v>0</v>
      </c>
      <c r="AH379" s="50">
        <f>ROUND(IF(AQ379="0",BJ379,0),2)</f>
        <v>0</v>
      </c>
      <c r="AI379" s="32" t="s">
        <v>4</v>
      </c>
      <c r="AJ379" s="50">
        <f>IF(AN379=0,J379,0)</f>
        <v>0</v>
      </c>
      <c r="AK379" s="50">
        <f>IF(AN379=12,J379,0)</f>
        <v>0</v>
      </c>
      <c r="AL379" s="50">
        <f>IF(AN379=21,J379,0)</f>
        <v>0</v>
      </c>
      <c r="AN379" s="50">
        <v>21</v>
      </c>
      <c r="AO379" s="50">
        <f>G379*0.138645675</f>
        <v>0</v>
      </c>
      <c r="AP379" s="50">
        <f>G379*(1-0.138645675)</f>
        <v>0</v>
      </c>
      <c r="AQ379" s="52" t="s">
        <v>112</v>
      </c>
      <c r="AV379" s="50">
        <f>ROUND(AW379+AX379,2)</f>
        <v>0</v>
      </c>
      <c r="AW379" s="50">
        <f>ROUND(F379*AO379,2)</f>
        <v>0</v>
      </c>
      <c r="AX379" s="50">
        <f>ROUND(F379*AP379,2)</f>
        <v>0</v>
      </c>
      <c r="AY379" s="52" t="s">
        <v>587</v>
      </c>
      <c r="AZ379" s="52" t="s">
        <v>588</v>
      </c>
      <c r="BA379" s="32" t="s">
        <v>119</v>
      </c>
      <c r="BC379" s="50">
        <f>AW379+AX379</f>
        <v>0</v>
      </c>
      <c r="BD379" s="50">
        <f>G379/(100-BE379)*100</f>
        <v>0</v>
      </c>
      <c r="BE379" s="50">
        <v>0</v>
      </c>
      <c r="BF379" s="50">
        <f>379</f>
        <v>379</v>
      </c>
      <c r="BH379" s="50">
        <f>F379*AO379</f>
        <v>0</v>
      </c>
      <c r="BI379" s="50">
        <f>F379*AP379</f>
        <v>0</v>
      </c>
      <c r="BJ379" s="50">
        <f>F379*G379</f>
        <v>0</v>
      </c>
      <c r="BK379" s="50"/>
      <c r="BL379" s="50">
        <v>61</v>
      </c>
      <c r="BW379" s="50">
        <v>21</v>
      </c>
      <c r="BX379" s="3" t="s">
        <v>624</v>
      </c>
    </row>
    <row r="380" spans="1:76" ht="14.4" x14ac:dyDescent="0.3">
      <c r="A380" s="53"/>
      <c r="C380" s="54" t="s">
        <v>625</v>
      </c>
      <c r="D380" s="54" t="s">
        <v>4</v>
      </c>
      <c r="F380" s="55">
        <v>12.331</v>
      </c>
      <c r="K380" s="56"/>
    </row>
    <row r="381" spans="1:76" ht="14.4" x14ac:dyDescent="0.3">
      <c r="A381" s="46" t="s">
        <v>4</v>
      </c>
      <c r="B381" s="47" t="s">
        <v>424</v>
      </c>
      <c r="C381" s="148" t="s">
        <v>626</v>
      </c>
      <c r="D381" s="149"/>
      <c r="E381" s="48" t="s">
        <v>74</v>
      </c>
      <c r="F381" s="48" t="s">
        <v>74</v>
      </c>
      <c r="G381" s="48" t="s">
        <v>74</v>
      </c>
      <c r="H381" s="26">
        <f>SUM(H382:H395)</f>
        <v>0</v>
      </c>
      <c r="I381" s="26">
        <f>SUM(I382:I395)</f>
        <v>0</v>
      </c>
      <c r="J381" s="26">
        <f>SUM(J382:J395)</f>
        <v>0</v>
      </c>
      <c r="K381" s="49" t="s">
        <v>4</v>
      </c>
      <c r="AI381" s="32" t="s">
        <v>4</v>
      </c>
      <c r="AS381" s="26">
        <f>SUM(AJ382:AJ395)</f>
        <v>0</v>
      </c>
      <c r="AT381" s="26">
        <f>SUM(AK382:AK395)</f>
        <v>0</v>
      </c>
      <c r="AU381" s="26">
        <f>SUM(AL382:AL395)</f>
        <v>0</v>
      </c>
    </row>
    <row r="382" spans="1:76" ht="14.4" x14ac:dyDescent="0.3">
      <c r="A382" s="1" t="s">
        <v>627</v>
      </c>
      <c r="B382" s="2" t="s">
        <v>628</v>
      </c>
      <c r="C382" s="75" t="s">
        <v>629</v>
      </c>
      <c r="D382" s="70"/>
      <c r="E382" s="2" t="s">
        <v>216</v>
      </c>
      <c r="F382" s="50">
        <v>111.93</v>
      </c>
      <c r="G382" s="50">
        <v>0</v>
      </c>
      <c r="H382" s="50">
        <f>ROUND(F382*AO382,2)</f>
        <v>0</v>
      </c>
      <c r="I382" s="50">
        <f>ROUND(F382*AP382,2)</f>
        <v>0</v>
      </c>
      <c r="J382" s="50">
        <f>ROUND(F382*G382,2)</f>
        <v>0</v>
      </c>
      <c r="K382" s="51" t="s">
        <v>116</v>
      </c>
      <c r="Z382" s="50">
        <f>ROUND(IF(AQ382="5",BJ382,0),2)</f>
        <v>0</v>
      </c>
      <c r="AB382" s="50">
        <f>ROUND(IF(AQ382="1",BH382,0),2)</f>
        <v>0</v>
      </c>
      <c r="AC382" s="50">
        <f>ROUND(IF(AQ382="1",BI382,0),2)</f>
        <v>0</v>
      </c>
      <c r="AD382" s="50">
        <f>ROUND(IF(AQ382="7",BH382,0),2)</f>
        <v>0</v>
      </c>
      <c r="AE382" s="50">
        <f>ROUND(IF(AQ382="7",BI382,0),2)</f>
        <v>0</v>
      </c>
      <c r="AF382" s="50">
        <f>ROUND(IF(AQ382="2",BH382,0),2)</f>
        <v>0</v>
      </c>
      <c r="AG382" s="50">
        <f>ROUND(IF(AQ382="2",BI382,0),2)</f>
        <v>0</v>
      </c>
      <c r="AH382" s="50">
        <f>ROUND(IF(AQ382="0",BJ382,0),2)</f>
        <v>0</v>
      </c>
      <c r="AI382" s="32" t="s">
        <v>4</v>
      </c>
      <c r="AJ382" s="50">
        <f>IF(AN382=0,J382,0)</f>
        <v>0</v>
      </c>
      <c r="AK382" s="50">
        <f>IF(AN382=12,J382,0)</f>
        <v>0</v>
      </c>
      <c r="AL382" s="50">
        <f>IF(AN382=21,J382,0)</f>
        <v>0</v>
      </c>
      <c r="AN382" s="50">
        <v>21</v>
      </c>
      <c r="AO382" s="50">
        <f>G382*0.676611151</f>
        <v>0</v>
      </c>
      <c r="AP382" s="50">
        <f>G382*(1-0.676611151)</f>
        <v>0</v>
      </c>
      <c r="AQ382" s="52" t="s">
        <v>112</v>
      </c>
      <c r="AV382" s="50">
        <f>ROUND(AW382+AX382,2)</f>
        <v>0</v>
      </c>
      <c r="AW382" s="50">
        <f>ROUND(F382*AO382,2)</f>
        <v>0</v>
      </c>
      <c r="AX382" s="50">
        <f>ROUND(F382*AP382,2)</f>
        <v>0</v>
      </c>
      <c r="AY382" s="52" t="s">
        <v>630</v>
      </c>
      <c r="AZ382" s="52" t="s">
        <v>588</v>
      </c>
      <c r="BA382" s="32" t="s">
        <v>119</v>
      </c>
      <c r="BC382" s="50">
        <f>AW382+AX382</f>
        <v>0</v>
      </c>
      <c r="BD382" s="50">
        <f>G382/(100-BE382)*100</f>
        <v>0</v>
      </c>
      <c r="BE382" s="50">
        <v>0</v>
      </c>
      <c r="BF382" s="50">
        <f>382</f>
        <v>382</v>
      </c>
      <c r="BH382" s="50">
        <f>F382*AO382</f>
        <v>0</v>
      </c>
      <c r="BI382" s="50">
        <f>F382*AP382</f>
        <v>0</v>
      </c>
      <c r="BJ382" s="50">
        <f>F382*G382</f>
        <v>0</v>
      </c>
      <c r="BK382" s="50"/>
      <c r="BL382" s="50">
        <v>62</v>
      </c>
      <c r="BW382" s="50">
        <v>21</v>
      </c>
      <c r="BX382" s="3" t="s">
        <v>629</v>
      </c>
    </row>
    <row r="383" spans="1:76" ht="13.5" customHeight="1" x14ac:dyDescent="0.3">
      <c r="A383" s="53"/>
      <c r="B383" s="57" t="s">
        <v>198</v>
      </c>
      <c r="C383" s="150" t="s">
        <v>631</v>
      </c>
      <c r="D383" s="151"/>
      <c r="E383" s="151"/>
      <c r="F383" s="151"/>
      <c r="G383" s="151"/>
      <c r="H383" s="151"/>
      <c r="I383" s="151"/>
      <c r="J383" s="151"/>
      <c r="K383" s="152"/>
    </row>
    <row r="384" spans="1:76" ht="14.4" x14ac:dyDescent="0.3">
      <c r="A384" s="53"/>
      <c r="C384" s="54" t="s">
        <v>632</v>
      </c>
      <c r="D384" s="54" t="s">
        <v>4</v>
      </c>
      <c r="F384" s="55">
        <v>140.66</v>
      </c>
      <c r="K384" s="56"/>
    </row>
    <row r="385" spans="1:76" ht="14.4" x14ac:dyDescent="0.3">
      <c r="A385" s="53"/>
      <c r="C385" s="54" t="s">
        <v>633</v>
      </c>
      <c r="D385" s="54" t="s">
        <v>4</v>
      </c>
      <c r="F385" s="55">
        <v>-8.39</v>
      </c>
      <c r="K385" s="56"/>
    </row>
    <row r="386" spans="1:76" ht="14.4" x14ac:dyDescent="0.3">
      <c r="A386" s="53"/>
      <c r="C386" s="54" t="s">
        <v>634</v>
      </c>
      <c r="D386" s="54" t="s">
        <v>4</v>
      </c>
      <c r="F386" s="55">
        <v>-7.15</v>
      </c>
      <c r="K386" s="56"/>
    </row>
    <row r="387" spans="1:76" ht="14.4" x14ac:dyDescent="0.3">
      <c r="A387" s="53"/>
      <c r="C387" s="54" t="s">
        <v>635</v>
      </c>
      <c r="D387" s="54" t="s">
        <v>4</v>
      </c>
      <c r="F387" s="55">
        <v>-6.67</v>
      </c>
      <c r="K387" s="56"/>
    </row>
    <row r="388" spans="1:76" ht="14.4" x14ac:dyDescent="0.3">
      <c r="A388" s="53"/>
      <c r="C388" s="54" t="s">
        <v>636</v>
      </c>
      <c r="D388" s="54" t="s">
        <v>4</v>
      </c>
      <c r="F388" s="55">
        <v>-4.26</v>
      </c>
      <c r="K388" s="56"/>
    </row>
    <row r="389" spans="1:76" ht="14.4" x14ac:dyDescent="0.3">
      <c r="A389" s="53"/>
      <c r="C389" s="54" t="s">
        <v>637</v>
      </c>
      <c r="D389" s="54" t="s">
        <v>4</v>
      </c>
      <c r="F389" s="55">
        <v>-2.2599999999999998</v>
      </c>
      <c r="K389" s="56"/>
    </row>
    <row r="390" spans="1:76" ht="14.4" x14ac:dyDescent="0.3">
      <c r="A390" s="1" t="s">
        <v>638</v>
      </c>
      <c r="B390" s="2" t="s">
        <v>639</v>
      </c>
      <c r="C390" s="75" t="s">
        <v>640</v>
      </c>
      <c r="D390" s="70"/>
      <c r="E390" s="2" t="s">
        <v>216</v>
      </c>
      <c r="F390" s="50">
        <v>47.375</v>
      </c>
      <c r="G390" s="50">
        <v>0</v>
      </c>
      <c r="H390" s="50">
        <f>ROUND(F390*AO390,2)</f>
        <v>0</v>
      </c>
      <c r="I390" s="50">
        <f>ROUND(F390*AP390,2)</f>
        <v>0</v>
      </c>
      <c r="J390" s="50">
        <f>ROUND(F390*G390,2)</f>
        <v>0</v>
      </c>
      <c r="K390" s="51" t="s">
        <v>116</v>
      </c>
      <c r="Z390" s="50">
        <f>ROUND(IF(AQ390="5",BJ390,0),2)</f>
        <v>0</v>
      </c>
      <c r="AB390" s="50">
        <f>ROUND(IF(AQ390="1",BH390,0),2)</f>
        <v>0</v>
      </c>
      <c r="AC390" s="50">
        <f>ROUND(IF(AQ390="1",BI390,0),2)</f>
        <v>0</v>
      </c>
      <c r="AD390" s="50">
        <f>ROUND(IF(AQ390="7",BH390,0),2)</f>
        <v>0</v>
      </c>
      <c r="AE390" s="50">
        <f>ROUND(IF(AQ390="7",BI390,0),2)</f>
        <v>0</v>
      </c>
      <c r="AF390" s="50">
        <f>ROUND(IF(AQ390="2",BH390,0),2)</f>
        <v>0</v>
      </c>
      <c r="AG390" s="50">
        <f>ROUND(IF(AQ390="2",BI390,0),2)</f>
        <v>0</v>
      </c>
      <c r="AH390" s="50">
        <f>ROUND(IF(AQ390="0",BJ390,0),2)</f>
        <v>0</v>
      </c>
      <c r="AI390" s="32" t="s">
        <v>4</v>
      </c>
      <c r="AJ390" s="50">
        <f>IF(AN390=0,J390,0)</f>
        <v>0</v>
      </c>
      <c r="AK390" s="50">
        <f>IF(AN390=12,J390,0)</f>
        <v>0</v>
      </c>
      <c r="AL390" s="50">
        <f>IF(AN390=21,J390,0)</f>
        <v>0</v>
      </c>
      <c r="AN390" s="50">
        <v>21</v>
      </c>
      <c r="AO390" s="50">
        <f>G390*0.714520374</f>
        <v>0</v>
      </c>
      <c r="AP390" s="50">
        <f>G390*(1-0.714520374)</f>
        <v>0</v>
      </c>
      <c r="AQ390" s="52" t="s">
        <v>112</v>
      </c>
      <c r="AV390" s="50">
        <f>ROUND(AW390+AX390,2)</f>
        <v>0</v>
      </c>
      <c r="AW390" s="50">
        <f>ROUND(F390*AO390,2)</f>
        <v>0</v>
      </c>
      <c r="AX390" s="50">
        <f>ROUND(F390*AP390,2)</f>
        <v>0</v>
      </c>
      <c r="AY390" s="52" t="s">
        <v>630</v>
      </c>
      <c r="AZ390" s="52" t="s">
        <v>588</v>
      </c>
      <c r="BA390" s="32" t="s">
        <v>119</v>
      </c>
      <c r="BC390" s="50">
        <f>AW390+AX390</f>
        <v>0</v>
      </c>
      <c r="BD390" s="50">
        <f>G390/(100-BE390)*100</f>
        <v>0</v>
      </c>
      <c r="BE390" s="50">
        <v>0</v>
      </c>
      <c r="BF390" s="50">
        <f>390</f>
        <v>390</v>
      </c>
      <c r="BH390" s="50">
        <f>F390*AO390</f>
        <v>0</v>
      </c>
      <c r="BI390" s="50">
        <f>F390*AP390</f>
        <v>0</v>
      </c>
      <c r="BJ390" s="50">
        <f>F390*G390</f>
        <v>0</v>
      </c>
      <c r="BK390" s="50"/>
      <c r="BL390" s="50">
        <v>62</v>
      </c>
      <c r="BW390" s="50">
        <v>21</v>
      </c>
      <c r="BX390" s="3" t="s">
        <v>640</v>
      </c>
    </row>
    <row r="391" spans="1:76" ht="13.5" customHeight="1" x14ac:dyDescent="0.3">
      <c r="A391" s="53"/>
      <c r="B391" s="57" t="s">
        <v>198</v>
      </c>
      <c r="C391" s="150" t="s">
        <v>641</v>
      </c>
      <c r="D391" s="151"/>
      <c r="E391" s="151"/>
      <c r="F391" s="151"/>
      <c r="G391" s="151"/>
      <c r="H391" s="151"/>
      <c r="I391" s="151"/>
      <c r="J391" s="151"/>
      <c r="K391" s="152"/>
    </row>
    <row r="392" spans="1:76" ht="14.4" x14ac:dyDescent="0.3">
      <c r="A392" s="53"/>
      <c r="C392" s="54" t="s">
        <v>642</v>
      </c>
      <c r="D392" s="54" t="s">
        <v>4</v>
      </c>
      <c r="F392" s="55">
        <v>70.34</v>
      </c>
      <c r="K392" s="56"/>
    </row>
    <row r="393" spans="1:76" ht="14.4" x14ac:dyDescent="0.3">
      <c r="A393" s="53"/>
      <c r="C393" s="54" t="s">
        <v>643</v>
      </c>
      <c r="D393" s="54" t="s">
        <v>4</v>
      </c>
      <c r="F393" s="55">
        <v>-11.275</v>
      </c>
      <c r="K393" s="56"/>
    </row>
    <row r="394" spans="1:76" ht="14.4" x14ac:dyDescent="0.3">
      <c r="A394" s="53"/>
      <c r="C394" s="54" t="s">
        <v>644</v>
      </c>
      <c r="D394" s="54" t="s">
        <v>4</v>
      </c>
      <c r="F394" s="55">
        <v>-11.69</v>
      </c>
      <c r="K394" s="56"/>
    </row>
    <row r="395" spans="1:76" ht="14.4" x14ac:dyDescent="0.3">
      <c r="A395" s="1" t="s">
        <v>645</v>
      </c>
      <c r="B395" s="2" t="s">
        <v>646</v>
      </c>
      <c r="C395" s="75" t="s">
        <v>647</v>
      </c>
      <c r="D395" s="70"/>
      <c r="E395" s="2" t="s">
        <v>233</v>
      </c>
      <c r="F395" s="50">
        <v>39.65</v>
      </c>
      <c r="G395" s="50">
        <v>0</v>
      </c>
      <c r="H395" s="50">
        <f>ROUND(F395*AO395,2)</f>
        <v>0</v>
      </c>
      <c r="I395" s="50">
        <f>ROUND(F395*AP395,2)</f>
        <v>0</v>
      </c>
      <c r="J395" s="50">
        <f>ROUND(F395*G395,2)</f>
        <v>0</v>
      </c>
      <c r="K395" s="51" t="s">
        <v>116</v>
      </c>
      <c r="Z395" s="50">
        <f>ROUND(IF(AQ395="5",BJ395,0),2)</f>
        <v>0</v>
      </c>
      <c r="AB395" s="50">
        <f>ROUND(IF(AQ395="1",BH395,0),2)</f>
        <v>0</v>
      </c>
      <c r="AC395" s="50">
        <f>ROUND(IF(AQ395="1",BI395,0),2)</f>
        <v>0</v>
      </c>
      <c r="AD395" s="50">
        <f>ROUND(IF(AQ395="7",BH395,0),2)</f>
        <v>0</v>
      </c>
      <c r="AE395" s="50">
        <f>ROUND(IF(AQ395="7",BI395,0),2)</f>
        <v>0</v>
      </c>
      <c r="AF395" s="50">
        <f>ROUND(IF(AQ395="2",BH395,0),2)</f>
        <v>0</v>
      </c>
      <c r="AG395" s="50">
        <f>ROUND(IF(AQ395="2",BI395,0),2)</f>
        <v>0</v>
      </c>
      <c r="AH395" s="50">
        <f>ROUND(IF(AQ395="0",BJ395,0),2)</f>
        <v>0</v>
      </c>
      <c r="AI395" s="32" t="s">
        <v>4</v>
      </c>
      <c r="AJ395" s="50">
        <f>IF(AN395=0,J395,0)</f>
        <v>0</v>
      </c>
      <c r="AK395" s="50">
        <f>IF(AN395=12,J395,0)</f>
        <v>0</v>
      </c>
      <c r="AL395" s="50">
        <f>IF(AN395=21,J395,0)</f>
        <v>0</v>
      </c>
      <c r="AN395" s="50">
        <v>21</v>
      </c>
      <c r="AO395" s="50">
        <f>G395*0.64950009</f>
        <v>0</v>
      </c>
      <c r="AP395" s="50">
        <f>G395*(1-0.64950009)</f>
        <v>0</v>
      </c>
      <c r="AQ395" s="52" t="s">
        <v>112</v>
      </c>
      <c r="AV395" s="50">
        <f>ROUND(AW395+AX395,2)</f>
        <v>0</v>
      </c>
      <c r="AW395" s="50">
        <f>ROUND(F395*AO395,2)</f>
        <v>0</v>
      </c>
      <c r="AX395" s="50">
        <f>ROUND(F395*AP395,2)</f>
        <v>0</v>
      </c>
      <c r="AY395" s="52" t="s">
        <v>630</v>
      </c>
      <c r="AZ395" s="52" t="s">
        <v>588</v>
      </c>
      <c r="BA395" s="32" t="s">
        <v>119</v>
      </c>
      <c r="BC395" s="50">
        <f>AW395+AX395</f>
        <v>0</v>
      </c>
      <c r="BD395" s="50">
        <f>G395/(100-BE395)*100</f>
        <v>0</v>
      </c>
      <c r="BE395" s="50">
        <v>0</v>
      </c>
      <c r="BF395" s="50">
        <f>395</f>
        <v>395</v>
      </c>
      <c r="BH395" s="50">
        <f>F395*AO395</f>
        <v>0</v>
      </c>
      <c r="BI395" s="50">
        <f>F395*AP395</f>
        <v>0</v>
      </c>
      <c r="BJ395" s="50">
        <f>F395*G395</f>
        <v>0</v>
      </c>
      <c r="BK395" s="50"/>
      <c r="BL395" s="50">
        <v>62</v>
      </c>
      <c r="BW395" s="50">
        <v>21</v>
      </c>
      <c r="BX395" s="3" t="s">
        <v>647</v>
      </c>
    </row>
    <row r="396" spans="1:76" ht="14.4" x14ac:dyDescent="0.3">
      <c r="A396" s="53"/>
      <c r="C396" s="54" t="s">
        <v>648</v>
      </c>
      <c r="D396" s="54" t="s">
        <v>4</v>
      </c>
      <c r="F396" s="55">
        <v>39.65</v>
      </c>
      <c r="K396" s="56"/>
    </row>
    <row r="397" spans="1:76" ht="14.4" x14ac:dyDescent="0.3">
      <c r="A397" s="46" t="s">
        <v>4</v>
      </c>
      <c r="B397" s="47" t="s">
        <v>428</v>
      </c>
      <c r="C397" s="148" t="s">
        <v>649</v>
      </c>
      <c r="D397" s="149"/>
      <c r="E397" s="48" t="s">
        <v>74</v>
      </c>
      <c r="F397" s="48" t="s">
        <v>74</v>
      </c>
      <c r="G397" s="48" t="s">
        <v>74</v>
      </c>
      <c r="H397" s="26">
        <f>SUM(H398:H398)</f>
        <v>0</v>
      </c>
      <c r="I397" s="26">
        <f>SUM(I398:I398)</f>
        <v>0</v>
      </c>
      <c r="J397" s="26">
        <f>SUM(J398:J398)</f>
        <v>0</v>
      </c>
      <c r="K397" s="49" t="s">
        <v>4</v>
      </c>
      <c r="AI397" s="32" t="s">
        <v>4</v>
      </c>
      <c r="AS397" s="26">
        <f>SUM(AJ398:AJ398)</f>
        <v>0</v>
      </c>
      <c r="AT397" s="26">
        <f>SUM(AK398:AK398)</f>
        <v>0</v>
      </c>
      <c r="AU397" s="26">
        <f>SUM(AL398:AL398)</f>
        <v>0</v>
      </c>
    </row>
    <row r="398" spans="1:76" ht="14.4" x14ac:dyDescent="0.3">
      <c r="A398" s="1" t="s">
        <v>650</v>
      </c>
      <c r="B398" s="2" t="s">
        <v>651</v>
      </c>
      <c r="C398" s="75" t="s">
        <v>652</v>
      </c>
      <c r="D398" s="70"/>
      <c r="E398" s="2" t="s">
        <v>216</v>
      </c>
      <c r="F398" s="50">
        <v>160.03</v>
      </c>
      <c r="G398" s="50">
        <v>0</v>
      </c>
      <c r="H398" s="50">
        <f>ROUND(F398*AO398,2)</f>
        <v>0</v>
      </c>
      <c r="I398" s="50">
        <f>ROUND(F398*AP398,2)</f>
        <v>0</v>
      </c>
      <c r="J398" s="50">
        <f>ROUND(F398*G398,2)</f>
        <v>0</v>
      </c>
      <c r="K398" s="51" t="s">
        <v>116</v>
      </c>
      <c r="Z398" s="50">
        <f>ROUND(IF(AQ398="5",BJ398,0),2)</f>
        <v>0</v>
      </c>
      <c r="AB398" s="50">
        <f>ROUND(IF(AQ398="1",BH398,0),2)</f>
        <v>0</v>
      </c>
      <c r="AC398" s="50">
        <f>ROUND(IF(AQ398="1",BI398,0),2)</f>
        <v>0</v>
      </c>
      <c r="AD398" s="50">
        <f>ROUND(IF(AQ398="7",BH398,0),2)</f>
        <v>0</v>
      </c>
      <c r="AE398" s="50">
        <f>ROUND(IF(AQ398="7",BI398,0),2)</f>
        <v>0</v>
      </c>
      <c r="AF398" s="50">
        <f>ROUND(IF(AQ398="2",BH398,0),2)</f>
        <v>0</v>
      </c>
      <c r="AG398" s="50">
        <f>ROUND(IF(AQ398="2",BI398,0),2)</f>
        <v>0</v>
      </c>
      <c r="AH398" s="50">
        <f>ROUND(IF(AQ398="0",BJ398,0),2)</f>
        <v>0</v>
      </c>
      <c r="AI398" s="32" t="s">
        <v>4</v>
      </c>
      <c r="AJ398" s="50">
        <f>IF(AN398=0,J398,0)</f>
        <v>0</v>
      </c>
      <c r="AK398" s="50">
        <f>IF(AN398=12,J398,0)</f>
        <v>0</v>
      </c>
      <c r="AL398" s="50">
        <f>IF(AN398=21,J398,0)</f>
        <v>0</v>
      </c>
      <c r="AN398" s="50">
        <v>21</v>
      </c>
      <c r="AO398" s="50">
        <f>G398*0.720248824</f>
        <v>0</v>
      </c>
      <c r="AP398" s="50">
        <f>G398*(1-0.720248824)</f>
        <v>0</v>
      </c>
      <c r="AQ398" s="52" t="s">
        <v>112</v>
      </c>
      <c r="AV398" s="50">
        <f>ROUND(AW398+AX398,2)</f>
        <v>0</v>
      </c>
      <c r="AW398" s="50">
        <f>ROUND(F398*AO398,2)</f>
        <v>0</v>
      </c>
      <c r="AX398" s="50">
        <f>ROUND(F398*AP398,2)</f>
        <v>0</v>
      </c>
      <c r="AY398" s="52" t="s">
        <v>653</v>
      </c>
      <c r="AZ398" s="52" t="s">
        <v>588</v>
      </c>
      <c r="BA398" s="32" t="s">
        <v>119</v>
      </c>
      <c r="BC398" s="50">
        <f>AW398+AX398</f>
        <v>0</v>
      </c>
      <c r="BD398" s="50">
        <f>G398/(100-BE398)*100</f>
        <v>0</v>
      </c>
      <c r="BE398" s="50">
        <v>0</v>
      </c>
      <c r="BF398" s="50">
        <f>398</f>
        <v>398</v>
      </c>
      <c r="BH398" s="50">
        <f>F398*AO398</f>
        <v>0</v>
      </c>
      <c r="BI398" s="50">
        <f>F398*AP398</f>
        <v>0</v>
      </c>
      <c r="BJ398" s="50">
        <f>F398*G398</f>
        <v>0</v>
      </c>
      <c r="BK398" s="50"/>
      <c r="BL398" s="50">
        <v>63</v>
      </c>
      <c r="BW398" s="50">
        <v>21</v>
      </c>
      <c r="BX398" s="3" t="s">
        <v>652</v>
      </c>
    </row>
    <row r="399" spans="1:76" ht="14.4" x14ac:dyDescent="0.3">
      <c r="A399" s="53"/>
      <c r="C399" s="54" t="s">
        <v>654</v>
      </c>
      <c r="D399" s="54" t="s">
        <v>4</v>
      </c>
      <c r="F399" s="55">
        <v>107.47</v>
      </c>
      <c r="K399" s="56"/>
    </row>
    <row r="400" spans="1:76" ht="14.4" x14ac:dyDescent="0.3">
      <c r="A400" s="53"/>
      <c r="C400" s="54" t="s">
        <v>655</v>
      </c>
      <c r="D400" s="54" t="s">
        <v>4</v>
      </c>
      <c r="F400" s="55">
        <v>52.56</v>
      </c>
      <c r="K400" s="56"/>
    </row>
    <row r="401" spans="1:76" ht="14.4" x14ac:dyDescent="0.3">
      <c r="A401" s="46" t="s">
        <v>4</v>
      </c>
      <c r="B401" s="47" t="s">
        <v>656</v>
      </c>
      <c r="C401" s="148" t="s">
        <v>657</v>
      </c>
      <c r="D401" s="149"/>
      <c r="E401" s="48" t="s">
        <v>74</v>
      </c>
      <c r="F401" s="48" t="s">
        <v>74</v>
      </c>
      <c r="G401" s="48" t="s">
        <v>74</v>
      </c>
      <c r="H401" s="26">
        <f>SUM(H402:H408)</f>
        <v>0</v>
      </c>
      <c r="I401" s="26">
        <f>SUM(I402:I408)</f>
        <v>0</v>
      </c>
      <c r="J401" s="26">
        <f>SUM(J402:J408)</f>
        <v>0</v>
      </c>
      <c r="K401" s="49" t="s">
        <v>4</v>
      </c>
      <c r="AI401" s="32" t="s">
        <v>4</v>
      </c>
      <c r="AS401" s="26">
        <f>SUM(AJ402:AJ408)</f>
        <v>0</v>
      </c>
      <c r="AT401" s="26">
        <f>SUM(AK402:AK408)</f>
        <v>0</v>
      </c>
      <c r="AU401" s="26">
        <f>SUM(AL402:AL408)</f>
        <v>0</v>
      </c>
    </row>
    <row r="402" spans="1:76" ht="14.4" x14ac:dyDescent="0.3">
      <c r="A402" s="1" t="s">
        <v>658</v>
      </c>
      <c r="B402" s="2" t="s">
        <v>659</v>
      </c>
      <c r="C402" s="75" t="s">
        <v>660</v>
      </c>
      <c r="D402" s="70"/>
      <c r="E402" s="2" t="s">
        <v>216</v>
      </c>
      <c r="F402" s="50">
        <v>128.02000000000001</v>
      </c>
      <c r="G402" s="50">
        <v>0</v>
      </c>
      <c r="H402" s="50">
        <f>ROUND(F402*AO402,2)</f>
        <v>0</v>
      </c>
      <c r="I402" s="50">
        <f>ROUND(F402*AP402,2)</f>
        <v>0</v>
      </c>
      <c r="J402" s="50">
        <f>ROUND(F402*G402,2)</f>
        <v>0</v>
      </c>
      <c r="K402" s="51" t="s">
        <v>116</v>
      </c>
      <c r="Z402" s="50">
        <f>ROUND(IF(AQ402="5",BJ402,0),2)</f>
        <v>0</v>
      </c>
      <c r="AB402" s="50">
        <f>ROUND(IF(AQ402="1",BH402,0),2)</f>
        <v>0</v>
      </c>
      <c r="AC402" s="50">
        <f>ROUND(IF(AQ402="1",BI402,0),2)</f>
        <v>0</v>
      </c>
      <c r="AD402" s="50">
        <f>ROUND(IF(AQ402="7",BH402,0),2)</f>
        <v>0</v>
      </c>
      <c r="AE402" s="50">
        <f>ROUND(IF(AQ402="7",BI402,0),2)</f>
        <v>0</v>
      </c>
      <c r="AF402" s="50">
        <f>ROUND(IF(AQ402="2",BH402,0),2)</f>
        <v>0</v>
      </c>
      <c r="AG402" s="50">
        <f>ROUND(IF(AQ402="2",BI402,0),2)</f>
        <v>0</v>
      </c>
      <c r="AH402" s="50">
        <f>ROUND(IF(AQ402="0",BJ402,0),2)</f>
        <v>0</v>
      </c>
      <c r="AI402" s="32" t="s">
        <v>4</v>
      </c>
      <c r="AJ402" s="50">
        <f>IF(AN402=0,J402,0)</f>
        <v>0</v>
      </c>
      <c r="AK402" s="50">
        <f>IF(AN402=12,J402,0)</f>
        <v>0</v>
      </c>
      <c r="AL402" s="50">
        <f>IF(AN402=21,J402,0)</f>
        <v>0</v>
      </c>
      <c r="AN402" s="50">
        <v>21</v>
      </c>
      <c r="AO402" s="50">
        <f>G402*0.718629279</f>
        <v>0</v>
      </c>
      <c r="AP402" s="50">
        <f>G402*(1-0.718629279)</f>
        <v>0</v>
      </c>
      <c r="AQ402" s="52" t="s">
        <v>158</v>
      </c>
      <c r="AV402" s="50">
        <f>ROUND(AW402+AX402,2)</f>
        <v>0</v>
      </c>
      <c r="AW402" s="50">
        <f>ROUND(F402*AO402,2)</f>
        <v>0</v>
      </c>
      <c r="AX402" s="50">
        <f>ROUND(F402*AP402,2)</f>
        <v>0</v>
      </c>
      <c r="AY402" s="52" t="s">
        <v>661</v>
      </c>
      <c r="AZ402" s="52" t="s">
        <v>662</v>
      </c>
      <c r="BA402" s="32" t="s">
        <v>119</v>
      </c>
      <c r="BC402" s="50">
        <f>AW402+AX402</f>
        <v>0</v>
      </c>
      <c r="BD402" s="50">
        <f>G402/(100-BE402)*100</f>
        <v>0</v>
      </c>
      <c r="BE402" s="50">
        <v>0</v>
      </c>
      <c r="BF402" s="50">
        <f>402</f>
        <v>402</v>
      </c>
      <c r="BH402" s="50">
        <f>F402*AO402</f>
        <v>0</v>
      </c>
      <c r="BI402" s="50">
        <f>F402*AP402</f>
        <v>0</v>
      </c>
      <c r="BJ402" s="50">
        <f>F402*G402</f>
        <v>0</v>
      </c>
      <c r="BK402" s="50"/>
      <c r="BL402" s="50">
        <v>711</v>
      </c>
      <c r="BW402" s="50">
        <v>21</v>
      </c>
      <c r="BX402" s="3" t="s">
        <v>660</v>
      </c>
    </row>
    <row r="403" spans="1:76" ht="13.5" customHeight="1" x14ac:dyDescent="0.3">
      <c r="A403" s="53"/>
      <c r="B403" s="57" t="s">
        <v>198</v>
      </c>
      <c r="C403" s="150" t="s">
        <v>663</v>
      </c>
      <c r="D403" s="151"/>
      <c r="E403" s="151"/>
      <c r="F403" s="151"/>
      <c r="G403" s="151"/>
      <c r="H403" s="151"/>
      <c r="I403" s="151"/>
      <c r="J403" s="151"/>
      <c r="K403" s="152"/>
    </row>
    <row r="404" spans="1:76" ht="14.4" x14ac:dyDescent="0.3">
      <c r="A404" s="53"/>
      <c r="C404" s="54" t="s">
        <v>664</v>
      </c>
      <c r="D404" s="54" t="s">
        <v>4</v>
      </c>
      <c r="F404" s="55">
        <v>128.02000000000001</v>
      </c>
      <c r="K404" s="56"/>
    </row>
    <row r="405" spans="1:76" ht="14.4" x14ac:dyDescent="0.3">
      <c r="A405" s="1" t="s">
        <v>665</v>
      </c>
      <c r="B405" s="2" t="s">
        <v>666</v>
      </c>
      <c r="C405" s="75" t="s">
        <v>667</v>
      </c>
      <c r="D405" s="70"/>
      <c r="E405" s="2" t="s">
        <v>216</v>
      </c>
      <c r="F405" s="50">
        <v>128.02000000000001</v>
      </c>
      <c r="G405" s="50">
        <v>0</v>
      </c>
      <c r="H405" s="50">
        <f>ROUND(F405*AO405,2)</f>
        <v>0</v>
      </c>
      <c r="I405" s="50">
        <f>ROUND(F405*AP405,2)</f>
        <v>0</v>
      </c>
      <c r="J405" s="50">
        <f>ROUND(F405*G405,2)</f>
        <v>0</v>
      </c>
      <c r="K405" s="51" t="s">
        <v>116</v>
      </c>
      <c r="Z405" s="50">
        <f>ROUND(IF(AQ405="5",BJ405,0),2)</f>
        <v>0</v>
      </c>
      <c r="AB405" s="50">
        <f>ROUND(IF(AQ405="1",BH405,0),2)</f>
        <v>0</v>
      </c>
      <c r="AC405" s="50">
        <f>ROUND(IF(AQ405="1",BI405,0),2)</f>
        <v>0</v>
      </c>
      <c r="AD405" s="50">
        <f>ROUND(IF(AQ405="7",BH405,0),2)</f>
        <v>0</v>
      </c>
      <c r="AE405" s="50">
        <f>ROUND(IF(AQ405="7",BI405,0),2)</f>
        <v>0</v>
      </c>
      <c r="AF405" s="50">
        <f>ROUND(IF(AQ405="2",BH405,0),2)</f>
        <v>0</v>
      </c>
      <c r="AG405" s="50">
        <f>ROUND(IF(AQ405="2",BI405,0),2)</f>
        <v>0</v>
      </c>
      <c r="AH405" s="50">
        <f>ROUND(IF(AQ405="0",BJ405,0),2)</f>
        <v>0</v>
      </c>
      <c r="AI405" s="32" t="s">
        <v>4</v>
      </c>
      <c r="AJ405" s="50">
        <f>IF(AN405=0,J405,0)</f>
        <v>0</v>
      </c>
      <c r="AK405" s="50">
        <f>IF(AN405=12,J405,0)</f>
        <v>0</v>
      </c>
      <c r="AL405" s="50">
        <f>IF(AN405=21,J405,0)</f>
        <v>0</v>
      </c>
      <c r="AN405" s="50">
        <v>21</v>
      </c>
      <c r="AO405" s="50">
        <f>G405*0.712817264</f>
        <v>0</v>
      </c>
      <c r="AP405" s="50">
        <f>G405*(1-0.712817264)</f>
        <v>0</v>
      </c>
      <c r="AQ405" s="52" t="s">
        <v>158</v>
      </c>
      <c r="AV405" s="50">
        <f>ROUND(AW405+AX405,2)</f>
        <v>0</v>
      </c>
      <c r="AW405" s="50">
        <f>ROUND(F405*AO405,2)</f>
        <v>0</v>
      </c>
      <c r="AX405" s="50">
        <f>ROUND(F405*AP405,2)</f>
        <v>0</v>
      </c>
      <c r="AY405" s="52" t="s">
        <v>661</v>
      </c>
      <c r="AZ405" s="52" t="s">
        <v>662</v>
      </c>
      <c r="BA405" s="32" t="s">
        <v>119</v>
      </c>
      <c r="BC405" s="50">
        <f>AW405+AX405</f>
        <v>0</v>
      </c>
      <c r="BD405" s="50">
        <f>G405/(100-BE405)*100</f>
        <v>0</v>
      </c>
      <c r="BE405" s="50">
        <v>0</v>
      </c>
      <c r="BF405" s="50">
        <f>405</f>
        <v>405</v>
      </c>
      <c r="BH405" s="50">
        <f>F405*AO405</f>
        <v>0</v>
      </c>
      <c r="BI405" s="50">
        <f>F405*AP405</f>
        <v>0</v>
      </c>
      <c r="BJ405" s="50">
        <f>F405*G405</f>
        <v>0</v>
      </c>
      <c r="BK405" s="50"/>
      <c r="BL405" s="50">
        <v>711</v>
      </c>
      <c r="BW405" s="50">
        <v>21</v>
      </c>
      <c r="BX405" s="3" t="s">
        <v>667</v>
      </c>
    </row>
    <row r="406" spans="1:76" ht="13.5" customHeight="1" x14ac:dyDescent="0.3">
      <c r="A406" s="53"/>
      <c r="B406" s="57" t="s">
        <v>198</v>
      </c>
      <c r="C406" s="150" t="s">
        <v>668</v>
      </c>
      <c r="D406" s="151"/>
      <c r="E406" s="151"/>
      <c r="F406" s="151"/>
      <c r="G406" s="151"/>
      <c r="H406" s="151"/>
      <c r="I406" s="151"/>
      <c r="J406" s="151"/>
      <c r="K406" s="152"/>
    </row>
    <row r="407" spans="1:76" ht="14.4" x14ac:dyDescent="0.3">
      <c r="A407" s="53"/>
      <c r="C407" s="54" t="s">
        <v>664</v>
      </c>
      <c r="D407" s="54" t="s">
        <v>4</v>
      </c>
      <c r="F407" s="55">
        <v>128.02000000000001</v>
      </c>
      <c r="K407" s="56"/>
    </row>
    <row r="408" spans="1:76" ht="14.4" x14ac:dyDescent="0.3">
      <c r="A408" s="1" t="s">
        <v>669</v>
      </c>
      <c r="B408" s="2" t="s">
        <v>670</v>
      </c>
      <c r="C408" s="75" t="s">
        <v>671</v>
      </c>
      <c r="D408" s="70"/>
      <c r="E408" s="2" t="s">
        <v>173</v>
      </c>
      <c r="F408" s="50">
        <v>0.75788</v>
      </c>
      <c r="G408" s="50">
        <v>0</v>
      </c>
      <c r="H408" s="50">
        <f>ROUND(F408*AO408,2)</f>
        <v>0</v>
      </c>
      <c r="I408" s="50">
        <f>ROUND(F408*AP408,2)</f>
        <v>0</v>
      </c>
      <c r="J408" s="50">
        <f>ROUND(F408*G408,2)</f>
        <v>0</v>
      </c>
      <c r="K408" s="51" t="s">
        <v>116</v>
      </c>
      <c r="Z408" s="50">
        <f>ROUND(IF(AQ408="5",BJ408,0),2)</f>
        <v>0</v>
      </c>
      <c r="AB408" s="50">
        <f>ROUND(IF(AQ408="1",BH408,0),2)</f>
        <v>0</v>
      </c>
      <c r="AC408" s="50">
        <f>ROUND(IF(AQ408="1",BI408,0),2)</f>
        <v>0</v>
      </c>
      <c r="AD408" s="50">
        <f>ROUND(IF(AQ408="7",BH408,0),2)</f>
        <v>0</v>
      </c>
      <c r="AE408" s="50">
        <f>ROUND(IF(AQ408="7",BI408,0),2)</f>
        <v>0</v>
      </c>
      <c r="AF408" s="50">
        <f>ROUND(IF(AQ408="2",BH408,0),2)</f>
        <v>0</v>
      </c>
      <c r="AG408" s="50">
        <f>ROUND(IF(AQ408="2",BI408,0),2)</f>
        <v>0</v>
      </c>
      <c r="AH408" s="50">
        <f>ROUND(IF(AQ408="0",BJ408,0),2)</f>
        <v>0</v>
      </c>
      <c r="AI408" s="32" t="s">
        <v>4</v>
      </c>
      <c r="AJ408" s="50">
        <f>IF(AN408=0,J408,0)</f>
        <v>0</v>
      </c>
      <c r="AK408" s="50">
        <f>IF(AN408=12,J408,0)</f>
        <v>0</v>
      </c>
      <c r="AL408" s="50">
        <f>IF(AN408=21,J408,0)</f>
        <v>0</v>
      </c>
      <c r="AN408" s="50">
        <v>21</v>
      </c>
      <c r="AO408" s="50">
        <f>G408*0</f>
        <v>0</v>
      </c>
      <c r="AP408" s="50">
        <f>G408*(1-0)</f>
        <v>0</v>
      </c>
      <c r="AQ408" s="52" t="s">
        <v>147</v>
      </c>
      <c r="AV408" s="50">
        <f>ROUND(AW408+AX408,2)</f>
        <v>0</v>
      </c>
      <c r="AW408" s="50">
        <f>ROUND(F408*AO408,2)</f>
        <v>0</v>
      </c>
      <c r="AX408" s="50">
        <f>ROUND(F408*AP408,2)</f>
        <v>0</v>
      </c>
      <c r="AY408" s="52" t="s">
        <v>661</v>
      </c>
      <c r="AZ408" s="52" t="s">
        <v>662</v>
      </c>
      <c r="BA408" s="32" t="s">
        <v>119</v>
      </c>
      <c r="BC408" s="50">
        <f>AW408+AX408</f>
        <v>0</v>
      </c>
      <c r="BD408" s="50">
        <f>G408/(100-BE408)*100</f>
        <v>0</v>
      </c>
      <c r="BE408" s="50">
        <v>0</v>
      </c>
      <c r="BF408" s="50">
        <f>408</f>
        <v>408</v>
      </c>
      <c r="BH408" s="50">
        <f>F408*AO408</f>
        <v>0</v>
      </c>
      <c r="BI408" s="50">
        <f>F408*AP408</f>
        <v>0</v>
      </c>
      <c r="BJ408" s="50">
        <f>F408*G408</f>
        <v>0</v>
      </c>
      <c r="BK408" s="50"/>
      <c r="BL408" s="50">
        <v>711</v>
      </c>
      <c r="BW408" s="50">
        <v>21</v>
      </c>
      <c r="BX408" s="3" t="s">
        <v>671</v>
      </c>
    </row>
    <row r="409" spans="1:76" ht="14.4" x14ac:dyDescent="0.3">
      <c r="A409" s="46" t="s">
        <v>4</v>
      </c>
      <c r="B409" s="47" t="s">
        <v>672</v>
      </c>
      <c r="C409" s="148" t="s">
        <v>673</v>
      </c>
      <c r="D409" s="149"/>
      <c r="E409" s="48" t="s">
        <v>74</v>
      </c>
      <c r="F409" s="48" t="s">
        <v>74</v>
      </c>
      <c r="G409" s="48" t="s">
        <v>74</v>
      </c>
      <c r="H409" s="26">
        <f>SUM(H410:H420)</f>
        <v>0</v>
      </c>
      <c r="I409" s="26">
        <f>SUM(I410:I420)</f>
        <v>0</v>
      </c>
      <c r="J409" s="26">
        <f>SUM(J410:J420)</f>
        <v>0</v>
      </c>
      <c r="K409" s="49" t="s">
        <v>4</v>
      </c>
      <c r="AI409" s="32" t="s">
        <v>4</v>
      </c>
      <c r="AS409" s="26">
        <f>SUM(AJ410:AJ420)</f>
        <v>0</v>
      </c>
      <c r="AT409" s="26">
        <f>SUM(AK410:AK420)</f>
        <v>0</v>
      </c>
      <c r="AU409" s="26">
        <f>SUM(AL410:AL420)</f>
        <v>0</v>
      </c>
    </row>
    <row r="410" spans="1:76" ht="14.4" x14ac:dyDescent="0.3">
      <c r="A410" s="1" t="s">
        <v>674</v>
      </c>
      <c r="B410" s="2" t="s">
        <v>675</v>
      </c>
      <c r="C410" s="75" t="s">
        <v>676</v>
      </c>
      <c r="D410" s="70"/>
      <c r="E410" s="2" t="s">
        <v>216</v>
      </c>
      <c r="F410" s="50">
        <v>43.92</v>
      </c>
      <c r="G410" s="50">
        <v>0</v>
      </c>
      <c r="H410" s="50">
        <f>ROUND(F410*AO410,2)</f>
        <v>0</v>
      </c>
      <c r="I410" s="50">
        <f>ROUND(F410*AP410,2)</f>
        <v>0</v>
      </c>
      <c r="J410" s="50">
        <f>ROUND(F410*G410,2)</f>
        <v>0</v>
      </c>
      <c r="K410" s="51" t="s">
        <v>116</v>
      </c>
      <c r="Z410" s="50">
        <f>ROUND(IF(AQ410="5",BJ410,0),2)</f>
        <v>0</v>
      </c>
      <c r="AB410" s="50">
        <f>ROUND(IF(AQ410="1",BH410,0),2)</f>
        <v>0</v>
      </c>
      <c r="AC410" s="50">
        <f>ROUND(IF(AQ410="1",BI410,0),2)</f>
        <v>0</v>
      </c>
      <c r="AD410" s="50">
        <f>ROUND(IF(AQ410="7",BH410,0),2)</f>
        <v>0</v>
      </c>
      <c r="AE410" s="50">
        <f>ROUND(IF(AQ410="7",BI410,0),2)</f>
        <v>0</v>
      </c>
      <c r="AF410" s="50">
        <f>ROUND(IF(AQ410="2",BH410,0),2)</f>
        <v>0</v>
      </c>
      <c r="AG410" s="50">
        <f>ROUND(IF(AQ410="2",BI410,0),2)</f>
        <v>0</v>
      </c>
      <c r="AH410" s="50">
        <f>ROUND(IF(AQ410="0",BJ410,0),2)</f>
        <v>0</v>
      </c>
      <c r="AI410" s="32" t="s">
        <v>4</v>
      </c>
      <c r="AJ410" s="50">
        <f>IF(AN410=0,J410,0)</f>
        <v>0</v>
      </c>
      <c r="AK410" s="50">
        <f>IF(AN410=12,J410,0)</f>
        <v>0</v>
      </c>
      <c r="AL410" s="50">
        <f>IF(AN410=21,J410,0)</f>
        <v>0</v>
      </c>
      <c r="AN410" s="50">
        <v>21</v>
      </c>
      <c r="AO410" s="50">
        <f>G410*0.373596867</f>
        <v>0</v>
      </c>
      <c r="AP410" s="50">
        <f>G410*(1-0.373596867)</f>
        <v>0</v>
      </c>
      <c r="AQ410" s="52" t="s">
        <v>158</v>
      </c>
      <c r="AV410" s="50">
        <f>ROUND(AW410+AX410,2)</f>
        <v>0</v>
      </c>
      <c r="AW410" s="50">
        <f>ROUND(F410*AO410,2)</f>
        <v>0</v>
      </c>
      <c r="AX410" s="50">
        <f>ROUND(F410*AP410,2)</f>
        <v>0</v>
      </c>
      <c r="AY410" s="52" t="s">
        <v>677</v>
      </c>
      <c r="AZ410" s="52" t="s">
        <v>662</v>
      </c>
      <c r="BA410" s="32" t="s">
        <v>119</v>
      </c>
      <c r="BC410" s="50">
        <f>AW410+AX410</f>
        <v>0</v>
      </c>
      <c r="BD410" s="50">
        <f>G410/(100-BE410)*100</f>
        <v>0</v>
      </c>
      <c r="BE410" s="50">
        <v>0</v>
      </c>
      <c r="BF410" s="50">
        <f>410</f>
        <v>410</v>
      </c>
      <c r="BH410" s="50">
        <f>F410*AO410</f>
        <v>0</v>
      </c>
      <c r="BI410" s="50">
        <f>F410*AP410</f>
        <v>0</v>
      </c>
      <c r="BJ410" s="50">
        <f>F410*G410</f>
        <v>0</v>
      </c>
      <c r="BK410" s="50"/>
      <c r="BL410" s="50">
        <v>712</v>
      </c>
      <c r="BW410" s="50">
        <v>21</v>
      </c>
      <c r="BX410" s="3" t="s">
        <v>676</v>
      </c>
    </row>
    <row r="411" spans="1:76" ht="13.5" customHeight="1" x14ac:dyDescent="0.3">
      <c r="A411" s="53"/>
      <c r="B411" s="57" t="s">
        <v>198</v>
      </c>
      <c r="C411" s="150" t="s">
        <v>678</v>
      </c>
      <c r="D411" s="151"/>
      <c r="E411" s="151"/>
      <c r="F411" s="151"/>
      <c r="G411" s="151"/>
      <c r="H411" s="151"/>
      <c r="I411" s="151"/>
      <c r="J411" s="151"/>
      <c r="K411" s="152"/>
    </row>
    <row r="412" spans="1:76" ht="14.4" x14ac:dyDescent="0.3">
      <c r="A412" s="53"/>
      <c r="C412" s="54" t="s">
        <v>679</v>
      </c>
      <c r="D412" s="54" t="s">
        <v>4</v>
      </c>
      <c r="F412" s="55">
        <v>40.26</v>
      </c>
      <c r="K412" s="56"/>
    </row>
    <row r="413" spans="1:76" ht="14.4" x14ac:dyDescent="0.3">
      <c r="A413" s="53"/>
      <c r="C413" s="54" t="s">
        <v>680</v>
      </c>
      <c r="D413" s="54" t="s">
        <v>4</v>
      </c>
      <c r="F413" s="55">
        <v>3.66</v>
      </c>
      <c r="K413" s="56"/>
    </row>
    <row r="414" spans="1:76" ht="14.4" x14ac:dyDescent="0.3">
      <c r="A414" s="1" t="s">
        <v>681</v>
      </c>
      <c r="B414" s="2" t="s">
        <v>682</v>
      </c>
      <c r="C414" s="75" t="s">
        <v>683</v>
      </c>
      <c r="D414" s="70"/>
      <c r="E414" s="2" t="s">
        <v>216</v>
      </c>
      <c r="F414" s="50">
        <v>43.92</v>
      </c>
      <c r="G414" s="50">
        <v>0</v>
      </c>
      <c r="H414" s="50">
        <f>ROUND(F414*AO414,2)</f>
        <v>0</v>
      </c>
      <c r="I414" s="50">
        <f>ROUND(F414*AP414,2)</f>
        <v>0</v>
      </c>
      <c r="J414" s="50">
        <f>ROUND(F414*G414,2)</f>
        <v>0</v>
      </c>
      <c r="K414" s="51" t="s">
        <v>116</v>
      </c>
      <c r="Z414" s="50">
        <f>ROUND(IF(AQ414="5",BJ414,0),2)</f>
        <v>0</v>
      </c>
      <c r="AB414" s="50">
        <f>ROUND(IF(AQ414="1",BH414,0),2)</f>
        <v>0</v>
      </c>
      <c r="AC414" s="50">
        <f>ROUND(IF(AQ414="1",BI414,0),2)</f>
        <v>0</v>
      </c>
      <c r="AD414" s="50">
        <f>ROUND(IF(AQ414="7",BH414,0),2)</f>
        <v>0</v>
      </c>
      <c r="AE414" s="50">
        <f>ROUND(IF(AQ414="7",BI414,0),2)</f>
        <v>0</v>
      </c>
      <c r="AF414" s="50">
        <f>ROUND(IF(AQ414="2",BH414,0),2)</f>
        <v>0</v>
      </c>
      <c r="AG414" s="50">
        <f>ROUND(IF(AQ414="2",BI414,0),2)</f>
        <v>0</v>
      </c>
      <c r="AH414" s="50">
        <f>ROUND(IF(AQ414="0",BJ414,0),2)</f>
        <v>0</v>
      </c>
      <c r="AI414" s="32" t="s">
        <v>4</v>
      </c>
      <c r="AJ414" s="50">
        <f>IF(AN414=0,J414,0)</f>
        <v>0</v>
      </c>
      <c r="AK414" s="50">
        <f>IF(AN414=12,J414,0)</f>
        <v>0</v>
      </c>
      <c r="AL414" s="50">
        <f>IF(AN414=21,J414,0)</f>
        <v>0</v>
      </c>
      <c r="AN414" s="50">
        <v>21</v>
      </c>
      <c r="AO414" s="50">
        <f>G414*0.597089217</f>
        <v>0</v>
      </c>
      <c r="AP414" s="50">
        <f>G414*(1-0.597089217)</f>
        <v>0</v>
      </c>
      <c r="AQ414" s="52" t="s">
        <v>158</v>
      </c>
      <c r="AV414" s="50">
        <f>ROUND(AW414+AX414,2)</f>
        <v>0</v>
      </c>
      <c r="AW414" s="50">
        <f>ROUND(F414*AO414,2)</f>
        <v>0</v>
      </c>
      <c r="AX414" s="50">
        <f>ROUND(F414*AP414,2)</f>
        <v>0</v>
      </c>
      <c r="AY414" s="52" t="s">
        <v>677</v>
      </c>
      <c r="AZ414" s="52" t="s">
        <v>662</v>
      </c>
      <c r="BA414" s="32" t="s">
        <v>119</v>
      </c>
      <c r="BC414" s="50">
        <f>AW414+AX414</f>
        <v>0</v>
      </c>
      <c r="BD414" s="50">
        <f>G414/(100-BE414)*100</f>
        <v>0</v>
      </c>
      <c r="BE414" s="50">
        <v>0</v>
      </c>
      <c r="BF414" s="50">
        <f>414</f>
        <v>414</v>
      </c>
      <c r="BH414" s="50">
        <f>F414*AO414</f>
        <v>0</v>
      </c>
      <c r="BI414" s="50">
        <f>F414*AP414</f>
        <v>0</v>
      </c>
      <c r="BJ414" s="50">
        <f>F414*G414</f>
        <v>0</v>
      </c>
      <c r="BK414" s="50"/>
      <c r="BL414" s="50">
        <v>712</v>
      </c>
      <c r="BW414" s="50">
        <v>21</v>
      </c>
      <c r="BX414" s="3" t="s">
        <v>683</v>
      </c>
    </row>
    <row r="415" spans="1:76" ht="13.5" customHeight="1" x14ac:dyDescent="0.3">
      <c r="A415" s="53"/>
      <c r="B415" s="57" t="s">
        <v>198</v>
      </c>
      <c r="C415" s="150" t="s">
        <v>684</v>
      </c>
      <c r="D415" s="151"/>
      <c r="E415" s="151"/>
      <c r="F415" s="151"/>
      <c r="G415" s="151"/>
      <c r="H415" s="151"/>
      <c r="I415" s="151"/>
      <c r="J415" s="151"/>
      <c r="K415" s="152"/>
    </row>
    <row r="416" spans="1:76" ht="14.4" x14ac:dyDescent="0.3">
      <c r="A416" s="53"/>
      <c r="C416" s="54" t="s">
        <v>679</v>
      </c>
      <c r="D416" s="54" t="s">
        <v>4</v>
      </c>
      <c r="F416" s="55">
        <v>40.26</v>
      </c>
      <c r="K416" s="56"/>
    </row>
    <row r="417" spans="1:76" ht="14.4" x14ac:dyDescent="0.3">
      <c r="A417" s="53"/>
      <c r="C417" s="54" t="s">
        <v>680</v>
      </c>
      <c r="D417" s="54" t="s">
        <v>4</v>
      </c>
      <c r="F417" s="55">
        <v>3.66</v>
      </c>
      <c r="K417" s="56"/>
    </row>
    <row r="418" spans="1:76" ht="14.4" x14ac:dyDescent="0.3">
      <c r="A418" s="1" t="s">
        <v>685</v>
      </c>
      <c r="B418" s="2" t="s">
        <v>686</v>
      </c>
      <c r="C418" s="75" t="s">
        <v>687</v>
      </c>
      <c r="D418" s="70"/>
      <c r="E418" s="2" t="s">
        <v>233</v>
      </c>
      <c r="F418" s="50">
        <v>12.2</v>
      </c>
      <c r="G418" s="50">
        <v>0</v>
      </c>
      <c r="H418" s="50">
        <f>ROUND(F418*AO418,2)</f>
        <v>0</v>
      </c>
      <c r="I418" s="50">
        <f>ROUND(F418*AP418,2)</f>
        <v>0</v>
      </c>
      <c r="J418" s="50">
        <f>ROUND(F418*G418,2)</f>
        <v>0</v>
      </c>
      <c r="K418" s="51" t="s">
        <v>116</v>
      </c>
      <c r="Z418" s="50">
        <f>ROUND(IF(AQ418="5",BJ418,0),2)</f>
        <v>0</v>
      </c>
      <c r="AB418" s="50">
        <f>ROUND(IF(AQ418="1",BH418,0),2)</f>
        <v>0</v>
      </c>
      <c r="AC418" s="50">
        <f>ROUND(IF(AQ418="1",BI418,0),2)</f>
        <v>0</v>
      </c>
      <c r="AD418" s="50">
        <f>ROUND(IF(AQ418="7",BH418,0),2)</f>
        <v>0</v>
      </c>
      <c r="AE418" s="50">
        <f>ROUND(IF(AQ418="7",BI418,0),2)</f>
        <v>0</v>
      </c>
      <c r="AF418" s="50">
        <f>ROUND(IF(AQ418="2",BH418,0),2)</f>
        <v>0</v>
      </c>
      <c r="AG418" s="50">
        <f>ROUND(IF(AQ418="2",BI418,0),2)</f>
        <v>0</v>
      </c>
      <c r="AH418" s="50">
        <f>ROUND(IF(AQ418="0",BJ418,0),2)</f>
        <v>0</v>
      </c>
      <c r="AI418" s="32" t="s">
        <v>4</v>
      </c>
      <c r="AJ418" s="50">
        <f>IF(AN418=0,J418,0)</f>
        <v>0</v>
      </c>
      <c r="AK418" s="50">
        <f>IF(AN418=12,J418,0)</f>
        <v>0</v>
      </c>
      <c r="AL418" s="50">
        <f>IF(AN418=21,J418,0)</f>
        <v>0</v>
      </c>
      <c r="AN418" s="50">
        <v>21</v>
      </c>
      <c r="AO418" s="50">
        <f>G418*0.479805399</f>
        <v>0</v>
      </c>
      <c r="AP418" s="50">
        <f>G418*(1-0.479805399)</f>
        <v>0</v>
      </c>
      <c r="AQ418" s="52" t="s">
        <v>158</v>
      </c>
      <c r="AV418" s="50">
        <f>ROUND(AW418+AX418,2)</f>
        <v>0</v>
      </c>
      <c r="AW418" s="50">
        <f>ROUND(F418*AO418,2)</f>
        <v>0</v>
      </c>
      <c r="AX418" s="50">
        <f>ROUND(F418*AP418,2)</f>
        <v>0</v>
      </c>
      <c r="AY418" s="52" t="s">
        <v>677</v>
      </c>
      <c r="AZ418" s="52" t="s">
        <v>662</v>
      </c>
      <c r="BA418" s="32" t="s">
        <v>119</v>
      </c>
      <c r="BC418" s="50">
        <f>AW418+AX418</f>
        <v>0</v>
      </c>
      <c r="BD418" s="50">
        <f>G418/(100-BE418)*100</f>
        <v>0</v>
      </c>
      <c r="BE418" s="50">
        <v>0</v>
      </c>
      <c r="BF418" s="50">
        <f>418</f>
        <v>418</v>
      </c>
      <c r="BH418" s="50">
        <f>F418*AO418</f>
        <v>0</v>
      </c>
      <c r="BI418" s="50">
        <f>F418*AP418</f>
        <v>0</v>
      </c>
      <c r="BJ418" s="50">
        <f>F418*G418</f>
        <v>0</v>
      </c>
      <c r="BK418" s="50"/>
      <c r="BL418" s="50">
        <v>712</v>
      </c>
      <c r="BW418" s="50">
        <v>21</v>
      </c>
      <c r="BX418" s="3" t="s">
        <v>687</v>
      </c>
    </row>
    <row r="419" spans="1:76" ht="14.4" x14ac:dyDescent="0.3">
      <c r="A419" s="53"/>
      <c r="C419" s="54" t="s">
        <v>688</v>
      </c>
      <c r="D419" s="54" t="s">
        <v>4</v>
      </c>
      <c r="F419" s="55">
        <v>12.2</v>
      </c>
      <c r="K419" s="56"/>
    </row>
    <row r="420" spans="1:76" ht="14.4" x14ac:dyDescent="0.3">
      <c r="A420" s="1" t="s">
        <v>689</v>
      </c>
      <c r="B420" s="2" t="s">
        <v>690</v>
      </c>
      <c r="C420" s="75" t="s">
        <v>691</v>
      </c>
      <c r="D420" s="70"/>
      <c r="E420" s="2" t="s">
        <v>173</v>
      </c>
      <c r="F420" s="50">
        <v>0.11336</v>
      </c>
      <c r="G420" s="50">
        <v>0</v>
      </c>
      <c r="H420" s="50">
        <f>ROUND(F420*AO420,2)</f>
        <v>0</v>
      </c>
      <c r="I420" s="50">
        <f>ROUND(F420*AP420,2)</f>
        <v>0</v>
      </c>
      <c r="J420" s="50">
        <f>ROUND(F420*G420,2)</f>
        <v>0</v>
      </c>
      <c r="K420" s="51" t="s">
        <v>116</v>
      </c>
      <c r="Z420" s="50">
        <f>ROUND(IF(AQ420="5",BJ420,0),2)</f>
        <v>0</v>
      </c>
      <c r="AB420" s="50">
        <f>ROUND(IF(AQ420="1",BH420,0),2)</f>
        <v>0</v>
      </c>
      <c r="AC420" s="50">
        <f>ROUND(IF(AQ420="1",BI420,0),2)</f>
        <v>0</v>
      </c>
      <c r="AD420" s="50">
        <f>ROUND(IF(AQ420="7",BH420,0),2)</f>
        <v>0</v>
      </c>
      <c r="AE420" s="50">
        <f>ROUND(IF(AQ420="7",BI420,0),2)</f>
        <v>0</v>
      </c>
      <c r="AF420" s="50">
        <f>ROUND(IF(AQ420="2",BH420,0),2)</f>
        <v>0</v>
      </c>
      <c r="AG420" s="50">
        <f>ROUND(IF(AQ420="2",BI420,0),2)</f>
        <v>0</v>
      </c>
      <c r="AH420" s="50">
        <f>ROUND(IF(AQ420="0",BJ420,0),2)</f>
        <v>0</v>
      </c>
      <c r="AI420" s="32" t="s">
        <v>4</v>
      </c>
      <c r="AJ420" s="50">
        <f>IF(AN420=0,J420,0)</f>
        <v>0</v>
      </c>
      <c r="AK420" s="50">
        <f>IF(AN420=12,J420,0)</f>
        <v>0</v>
      </c>
      <c r="AL420" s="50">
        <f>IF(AN420=21,J420,0)</f>
        <v>0</v>
      </c>
      <c r="AN420" s="50">
        <v>21</v>
      </c>
      <c r="AO420" s="50">
        <f>G420*0</f>
        <v>0</v>
      </c>
      <c r="AP420" s="50">
        <f>G420*(1-0)</f>
        <v>0</v>
      </c>
      <c r="AQ420" s="52" t="s">
        <v>147</v>
      </c>
      <c r="AV420" s="50">
        <f>ROUND(AW420+AX420,2)</f>
        <v>0</v>
      </c>
      <c r="AW420" s="50">
        <f>ROUND(F420*AO420,2)</f>
        <v>0</v>
      </c>
      <c r="AX420" s="50">
        <f>ROUND(F420*AP420,2)</f>
        <v>0</v>
      </c>
      <c r="AY420" s="52" t="s">
        <v>677</v>
      </c>
      <c r="AZ420" s="52" t="s">
        <v>662</v>
      </c>
      <c r="BA420" s="32" t="s">
        <v>119</v>
      </c>
      <c r="BC420" s="50">
        <f>AW420+AX420</f>
        <v>0</v>
      </c>
      <c r="BD420" s="50">
        <f>G420/(100-BE420)*100</f>
        <v>0</v>
      </c>
      <c r="BE420" s="50">
        <v>0</v>
      </c>
      <c r="BF420" s="50">
        <f>420</f>
        <v>420</v>
      </c>
      <c r="BH420" s="50">
        <f>F420*AO420</f>
        <v>0</v>
      </c>
      <c r="BI420" s="50">
        <f>F420*AP420</f>
        <v>0</v>
      </c>
      <c r="BJ420" s="50">
        <f>F420*G420</f>
        <v>0</v>
      </c>
      <c r="BK420" s="50"/>
      <c r="BL420" s="50">
        <v>712</v>
      </c>
      <c r="BW420" s="50">
        <v>21</v>
      </c>
      <c r="BX420" s="3" t="s">
        <v>691</v>
      </c>
    </row>
    <row r="421" spans="1:76" ht="14.4" x14ac:dyDescent="0.3">
      <c r="A421" s="46" t="s">
        <v>4</v>
      </c>
      <c r="B421" s="47" t="s">
        <v>692</v>
      </c>
      <c r="C421" s="148" t="s">
        <v>693</v>
      </c>
      <c r="D421" s="149"/>
      <c r="E421" s="48" t="s">
        <v>74</v>
      </c>
      <c r="F421" s="48" t="s">
        <v>74</v>
      </c>
      <c r="G421" s="48" t="s">
        <v>74</v>
      </c>
      <c r="H421" s="26">
        <f>SUM(H422:H467)</f>
        <v>0</v>
      </c>
      <c r="I421" s="26">
        <f>SUM(I422:I467)</f>
        <v>0</v>
      </c>
      <c r="J421" s="26">
        <f>SUM(J422:J467)</f>
        <v>0</v>
      </c>
      <c r="K421" s="49" t="s">
        <v>4</v>
      </c>
      <c r="AI421" s="32" t="s">
        <v>4</v>
      </c>
      <c r="AS421" s="26">
        <f>SUM(AJ422:AJ467)</f>
        <v>0</v>
      </c>
      <c r="AT421" s="26">
        <f>SUM(AK422:AK467)</f>
        <v>0</v>
      </c>
      <c r="AU421" s="26">
        <f>SUM(AL422:AL467)</f>
        <v>0</v>
      </c>
    </row>
    <row r="422" spans="1:76" ht="14.4" x14ac:dyDescent="0.3">
      <c r="A422" s="1" t="s">
        <v>694</v>
      </c>
      <c r="B422" s="2" t="s">
        <v>695</v>
      </c>
      <c r="C422" s="75" t="s">
        <v>696</v>
      </c>
      <c r="D422" s="70"/>
      <c r="E422" s="2" t="s">
        <v>216</v>
      </c>
      <c r="F422" s="50">
        <v>77.234999999999999</v>
      </c>
      <c r="G422" s="50">
        <v>0</v>
      </c>
      <c r="H422" s="50">
        <f>ROUND(F422*AO422,2)</f>
        <v>0</v>
      </c>
      <c r="I422" s="50">
        <f>ROUND(F422*AP422,2)</f>
        <v>0</v>
      </c>
      <c r="J422" s="50">
        <f>ROUND(F422*G422,2)</f>
        <v>0</v>
      </c>
      <c r="K422" s="51" t="s">
        <v>116</v>
      </c>
      <c r="Z422" s="50">
        <f>ROUND(IF(AQ422="5",BJ422,0),2)</f>
        <v>0</v>
      </c>
      <c r="AB422" s="50">
        <f>ROUND(IF(AQ422="1",BH422,0),2)</f>
        <v>0</v>
      </c>
      <c r="AC422" s="50">
        <f>ROUND(IF(AQ422="1",BI422,0),2)</f>
        <v>0</v>
      </c>
      <c r="AD422" s="50">
        <f>ROUND(IF(AQ422="7",BH422,0),2)</f>
        <v>0</v>
      </c>
      <c r="AE422" s="50">
        <f>ROUND(IF(AQ422="7",BI422,0),2)</f>
        <v>0</v>
      </c>
      <c r="AF422" s="50">
        <f>ROUND(IF(AQ422="2",BH422,0),2)</f>
        <v>0</v>
      </c>
      <c r="AG422" s="50">
        <f>ROUND(IF(AQ422="2",BI422,0),2)</f>
        <v>0</v>
      </c>
      <c r="AH422" s="50">
        <f>ROUND(IF(AQ422="0",BJ422,0),2)</f>
        <v>0</v>
      </c>
      <c r="AI422" s="32" t="s">
        <v>4</v>
      </c>
      <c r="AJ422" s="50">
        <f>IF(AN422=0,J422,0)</f>
        <v>0</v>
      </c>
      <c r="AK422" s="50">
        <f>IF(AN422=12,J422,0)</f>
        <v>0</v>
      </c>
      <c r="AL422" s="50">
        <f>IF(AN422=21,J422,0)</f>
        <v>0</v>
      </c>
      <c r="AN422" s="50">
        <v>21</v>
      </c>
      <c r="AO422" s="50">
        <f>G422*0.219868882</f>
        <v>0</v>
      </c>
      <c r="AP422" s="50">
        <f>G422*(1-0.219868882)</f>
        <v>0</v>
      </c>
      <c r="AQ422" s="52" t="s">
        <v>158</v>
      </c>
      <c r="AV422" s="50">
        <f>ROUND(AW422+AX422,2)</f>
        <v>0</v>
      </c>
      <c r="AW422" s="50">
        <f>ROUND(F422*AO422,2)</f>
        <v>0</v>
      </c>
      <c r="AX422" s="50">
        <f>ROUND(F422*AP422,2)</f>
        <v>0</v>
      </c>
      <c r="AY422" s="52" t="s">
        <v>697</v>
      </c>
      <c r="AZ422" s="52" t="s">
        <v>662</v>
      </c>
      <c r="BA422" s="32" t="s">
        <v>119</v>
      </c>
      <c r="BC422" s="50">
        <f>AW422+AX422</f>
        <v>0</v>
      </c>
      <c r="BD422" s="50">
        <f>G422/(100-BE422)*100</f>
        <v>0</v>
      </c>
      <c r="BE422" s="50">
        <v>0</v>
      </c>
      <c r="BF422" s="50">
        <f>422</f>
        <v>422</v>
      </c>
      <c r="BH422" s="50">
        <f>F422*AO422</f>
        <v>0</v>
      </c>
      <c r="BI422" s="50">
        <f>F422*AP422</f>
        <v>0</v>
      </c>
      <c r="BJ422" s="50">
        <f>F422*G422</f>
        <v>0</v>
      </c>
      <c r="BK422" s="50"/>
      <c r="BL422" s="50">
        <v>713</v>
      </c>
      <c r="BW422" s="50">
        <v>21</v>
      </c>
      <c r="BX422" s="3" t="s">
        <v>696</v>
      </c>
    </row>
    <row r="423" spans="1:76" ht="14.4" x14ac:dyDescent="0.3">
      <c r="A423" s="53"/>
      <c r="C423" s="54" t="s">
        <v>303</v>
      </c>
      <c r="D423" s="54" t="s">
        <v>4</v>
      </c>
      <c r="F423" s="55">
        <v>77.234999999999999</v>
      </c>
      <c r="K423" s="56"/>
    </row>
    <row r="424" spans="1:76" ht="14.4" x14ac:dyDescent="0.3">
      <c r="A424" s="1" t="s">
        <v>698</v>
      </c>
      <c r="B424" s="2" t="s">
        <v>699</v>
      </c>
      <c r="C424" s="75" t="s">
        <v>700</v>
      </c>
      <c r="D424" s="70"/>
      <c r="E424" s="2" t="s">
        <v>216</v>
      </c>
      <c r="F424" s="50">
        <v>81.09675</v>
      </c>
      <c r="G424" s="50">
        <v>0</v>
      </c>
      <c r="H424" s="50">
        <f>ROUND(F424*AO424,2)</f>
        <v>0</v>
      </c>
      <c r="I424" s="50">
        <f>ROUND(F424*AP424,2)</f>
        <v>0</v>
      </c>
      <c r="J424" s="50">
        <f>ROUND(F424*G424,2)</f>
        <v>0</v>
      </c>
      <c r="K424" s="51" t="s">
        <v>116</v>
      </c>
      <c r="Z424" s="50">
        <f>ROUND(IF(AQ424="5",BJ424,0),2)</f>
        <v>0</v>
      </c>
      <c r="AB424" s="50">
        <f>ROUND(IF(AQ424="1",BH424,0),2)</f>
        <v>0</v>
      </c>
      <c r="AC424" s="50">
        <f>ROUND(IF(AQ424="1",BI424,0),2)</f>
        <v>0</v>
      </c>
      <c r="AD424" s="50">
        <f>ROUND(IF(AQ424="7",BH424,0),2)</f>
        <v>0</v>
      </c>
      <c r="AE424" s="50">
        <f>ROUND(IF(AQ424="7",BI424,0),2)</f>
        <v>0</v>
      </c>
      <c r="AF424" s="50">
        <f>ROUND(IF(AQ424="2",BH424,0),2)</f>
        <v>0</v>
      </c>
      <c r="AG424" s="50">
        <f>ROUND(IF(AQ424="2",BI424,0),2)</f>
        <v>0</v>
      </c>
      <c r="AH424" s="50">
        <f>ROUND(IF(AQ424="0",BJ424,0),2)</f>
        <v>0</v>
      </c>
      <c r="AI424" s="32" t="s">
        <v>4</v>
      </c>
      <c r="AJ424" s="50">
        <f>IF(AN424=0,J424,0)</f>
        <v>0</v>
      </c>
      <c r="AK424" s="50">
        <f>IF(AN424=12,J424,0)</f>
        <v>0</v>
      </c>
      <c r="AL424" s="50">
        <f>IF(AN424=21,J424,0)</f>
        <v>0</v>
      </c>
      <c r="AN424" s="50">
        <v>21</v>
      </c>
      <c r="AO424" s="50">
        <f>G424*1</f>
        <v>0</v>
      </c>
      <c r="AP424" s="50">
        <f>G424*(1-1)</f>
        <v>0</v>
      </c>
      <c r="AQ424" s="52" t="s">
        <v>158</v>
      </c>
      <c r="AV424" s="50">
        <f>ROUND(AW424+AX424,2)</f>
        <v>0</v>
      </c>
      <c r="AW424" s="50">
        <f>ROUND(F424*AO424,2)</f>
        <v>0</v>
      </c>
      <c r="AX424" s="50">
        <f>ROUND(F424*AP424,2)</f>
        <v>0</v>
      </c>
      <c r="AY424" s="52" t="s">
        <v>697</v>
      </c>
      <c r="AZ424" s="52" t="s">
        <v>662</v>
      </c>
      <c r="BA424" s="32" t="s">
        <v>119</v>
      </c>
      <c r="BC424" s="50">
        <f>AW424+AX424</f>
        <v>0</v>
      </c>
      <c r="BD424" s="50">
        <f>G424/(100-BE424)*100</f>
        <v>0</v>
      </c>
      <c r="BE424" s="50">
        <v>0</v>
      </c>
      <c r="BF424" s="50">
        <f>424</f>
        <v>424</v>
      </c>
      <c r="BH424" s="50">
        <f>F424*AO424</f>
        <v>0</v>
      </c>
      <c r="BI424" s="50">
        <f>F424*AP424</f>
        <v>0</v>
      </c>
      <c r="BJ424" s="50">
        <f>F424*G424</f>
        <v>0</v>
      </c>
      <c r="BK424" s="50"/>
      <c r="BL424" s="50">
        <v>713</v>
      </c>
      <c r="BW424" s="50">
        <v>21</v>
      </c>
      <c r="BX424" s="3" t="s">
        <v>700</v>
      </c>
    </row>
    <row r="425" spans="1:76" ht="14.4" x14ac:dyDescent="0.3">
      <c r="A425" s="53"/>
      <c r="C425" s="54" t="s">
        <v>303</v>
      </c>
      <c r="D425" s="54" t="s">
        <v>4</v>
      </c>
      <c r="F425" s="55">
        <v>77.234999999999999</v>
      </c>
      <c r="K425" s="56"/>
    </row>
    <row r="426" spans="1:76" ht="14.4" x14ac:dyDescent="0.3">
      <c r="A426" s="53"/>
      <c r="C426" s="54" t="s">
        <v>701</v>
      </c>
      <c r="D426" s="54" t="s">
        <v>4</v>
      </c>
      <c r="F426" s="55">
        <v>3.8617499999999998</v>
      </c>
      <c r="K426" s="56"/>
    </row>
    <row r="427" spans="1:76" ht="14.4" x14ac:dyDescent="0.3">
      <c r="A427" s="1" t="s">
        <v>702</v>
      </c>
      <c r="B427" s="2" t="s">
        <v>703</v>
      </c>
      <c r="C427" s="75" t="s">
        <v>704</v>
      </c>
      <c r="D427" s="70"/>
      <c r="E427" s="2" t="s">
        <v>216</v>
      </c>
      <c r="F427" s="50">
        <v>107.47</v>
      </c>
      <c r="G427" s="50">
        <v>0</v>
      </c>
      <c r="H427" s="50">
        <f>ROUND(F427*AO427,2)</f>
        <v>0</v>
      </c>
      <c r="I427" s="50">
        <f>ROUND(F427*AP427,2)</f>
        <v>0</v>
      </c>
      <c r="J427" s="50">
        <f>ROUND(F427*G427,2)</f>
        <v>0</v>
      </c>
      <c r="K427" s="51" t="s">
        <v>116</v>
      </c>
      <c r="Z427" s="50">
        <f>ROUND(IF(AQ427="5",BJ427,0),2)</f>
        <v>0</v>
      </c>
      <c r="AB427" s="50">
        <f>ROUND(IF(AQ427="1",BH427,0),2)</f>
        <v>0</v>
      </c>
      <c r="AC427" s="50">
        <f>ROUND(IF(AQ427="1",BI427,0),2)</f>
        <v>0</v>
      </c>
      <c r="AD427" s="50">
        <f>ROUND(IF(AQ427="7",BH427,0),2)</f>
        <v>0</v>
      </c>
      <c r="AE427" s="50">
        <f>ROUND(IF(AQ427="7",BI427,0),2)</f>
        <v>0</v>
      </c>
      <c r="AF427" s="50">
        <f>ROUND(IF(AQ427="2",BH427,0),2)</f>
        <v>0</v>
      </c>
      <c r="AG427" s="50">
        <f>ROUND(IF(AQ427="2",BI427,0),2)</f>
        <v>0</v>
      </c>
      <c r="AH427" s="50">
        <f>ROUND(IF(AQ427="0",BJ427,0),2)</f>
        <v>0</v>
      </c>
      <c r="AI427" s="32" t="s">
        <v>4</v>
      </c>
      <c r="AJ427" s="50">
        <f>IF(AN427=0,J427,0)</f>
        <v>0</v>
      </c>
      <c r="AK427" s="50">
        <f>IF(AN427=12,J427,0)</f>
        <v>0</v>
      </c>
      <c r="AL427" s="50">
        <f>IF(AN427=21,J427,0)</f>
        <v>0</v>
      </c>
      <c r="AN427" s="50">
        <v>21</v>
      </c>
      <c r="AO427" s="50">
        <f>G427*0</f>
        <v>0</v>
      </c>
      <c r="AP427" s="50">
        <f>G427*(1-0)</f>
        <v>0</v>
      </c>
      <c r="AQ427" s="52" t="s">
        <v>158</v>
      </c>
      <c r="AV427" s="50">
        <f>ROUND(AW427+AX427,2)</f>
        <v>0</v>
      </c>
      <c r="AW427" s="50">
        <f>ROUND(F427*AO427,2)</f>
        <v>0</v>
      </c>
      <c r="AX427" s="50">
        <f>ROUND(F427*AP427,2)</f>
        <v>0</v>
      </c>
      <c r="AY427" s="52" t="s">
        <v>697</v>
      </c>
      <c r="AZ427" s="52" t="s">
        <v>662</v>
      </c>
      <c r="BA427" s="32" t="s">
        <v>119</v>
      </c>
      <c r="BC427" s="50">
        <f>AW427+AX427</f>
        <v>0</v>
      </c>
      <c r="BD427" s="50">
        <f>G427/(100-BE427)*100</f>
        <v>0</v>
      </c>
      <c r="BE427" s="50">
        <v>0</v>
      </c>
      <c r="BF427" s="50">
        <f>427</f>
        <v>427</v>
      </c>
      <c r="BH427" s="50">
        <f>F427*AO427</f>
        <v>0</v>
      </c>
      <c r="BI427" s="50">
        <f>F427*AP427</f>
        <v>0</v>
      </c>
      <c r="BJ427" s="50">
        <f>F427*G427</f>
        <v>0</v>
      </c>
      <c r="BK427" s="50"/>
      <c r="BL427" s="50">
        <v>713</v>
      </c>
      <c r="BW427" s="50">
        <v>21</v>
      </c>
      <c r="BX427" s="3" t="s">
        <v>704</v>
      </c>
    </row>
    <row r="428" spans="1:76" ht="13.5" customHeight="1" x14ac:dyDescent="0.3">
      <c r="A428" s="53"/>
      <c r="B428" s="57" t="s">
        <v>198</v>
      </c>
      <c r="C428" s="150" t="s">
        <v>705</v>
      </c>
      <c r="D428" s="151"/>
      <c r="E428" s="151"/>
      <c r="F428" s="151"/>
      <c r="G428" s="151"/>
      <c r="H428" s="151"/>
      <c r="I428" s="151"/>
      <c r="J428" s="151"/>
      <c r="K428" s="152"/>
    </row>
    <row r="429" spans="1:76" ht="14.4" x14ac:dyDescent="0.3">
      <c r="A429" s="53"/>
      <c r="C429" s="54" t="s">
        <v>654</v>
      </c>
      <c r="D429" s="54" t="s">
        <v>4</v>
      </c>
      <c r="F429" s="55">
        <v>107.47</v>
      </c>
      <c r="K429" s="56"/>
    </row>
    <row r="430" spans="1:76" ht="14.4" x14ac:dyDescent="0.3">
      <c r="A430" s="1" t="s">
        <v>706</v>
      </c>
      <c r="B430" s="2" t="s">
        <v>707</v>
      </c>
      <c r="C430" s="75" t="s">
        <v>708</v>
      </c>
      <c r="D430" s="70"/>
      <c r="E430" s="2" t="s">
        <v>115</v>
      </c>
      <c r="F430" s="50">
        <v>14.66966</v>
      </c>
      <c r="G430" s="50">
        <v>0</v>
      </c>
      <c r="H430" s="50">
        <f>ROUND(F430*AO430,2)</f>
        <v>0</v>
      </c>
      <c r="I430" s="50">
        <f>ROUND(F430*AP430,2)</f>
        <v>0</v>
      </c>
      <c r="J430" s="50">
        <f>ROUND(F430*G430,2)</f>
        <v>0</v>
      </c>
      <c r="K430" s="51" t="s">
        <v>116</v>
      </c>
      <c r="Z430" s="50">
        <f>ROUND(IF(AQ430="5",BJ430,0),2)</f>
        <v>0</v>
      </c>
      <c r="AB430" s="50">
        <f>ROUND(IF(AQ430="1",BH430,0),2)</f>
        <v>0</v>
      </c>
      <c r="AC430" s="50">
        <f>ROUND(IF(AQ430="1",BI430,0),2)</f>
        <v>0</v>
      </c>
      <c r="AD430" s="50">
        <f>ROUND(IF(AQ430="7",BH430,0),2)</f>
        <v>0</v>
      </c>
      <c r="AE430" s="50">
        <f>ROUND(IF(AQ430="7",BI430,0),2)</f>
        <v>0</v>
      </c>
      <c r="AF430" s="50">
        <f>ROUND(IF(AQ430="2",BH430,0),2)</f>
        <v>0</v>
      </c>
      <c r="AG430" s="50">
        <f>ROUND(IF(AQ430="2",BI430,0),2)</f>
        <v>0</v>
      </c>
      <c r="AH430" s="50">
        <f>ROUND(IF(AQ430="0",BJ430,0),2)</f>
        <v>0</v>
      </c>
      <c r="AI430" s="32" t="s">
        <v>4</v>
      </c>
      <c r="AJ430" s="50">
        <f>IF(AN430=0,J430,0)</f>
        <v>0</v>
      </c>
      <c r="AK430" s="50">
        <f>IF(AN430=12,J430,0)</f>
        <v>0</v>
      </c>
      <c r="AL430" s="50">
        <f>IF(AN430=21,J430,0)</f>
        <v>0</v>
      </c>
      <c r="AN430" s="50">
        <v>21</v>
      </c>
      <c r="AO430" s="50">
        <f>G430*1</f>
        <v>0</v>
      </c>
      <c r="AP430" s="50">
        <f>G430*(1-1)</f>
        <v>0</v>
      </c>
      <c r="AQ430" s="52" t="s">
        <v>158</v>
      </c>
      <c r="AV430" s="50">
        <f>ROUND(AW430+AX430,2)</f>
        <v>0</v>
      </c>
      <c r="AW430" s="50">
        <f>ROUND(F430*AO430,2)</f>
        <v>0</v>
      </c>
      <c r="AX430" s="50">
        <f>ROUND(F430*AP430,2)</f>
        <v>0</v>
      </c>
      <c r="AY430" s="52" t="s">
        <v>697</v>
      </c>
      <c r="AZ430" s="52" t="s">
        <v>662</v>
      </c>
      <c r="BA430" s="32" t="s">
        <v>119</v>
      </c>
      <c r="BC430" s="50">
        <f>AW430+AX430</f>
        <v>0</v>
      </c>
      <c r="BD430" s="50">
        <f>G430/(100-BE430)*100</f>
        <v>0</v>
      </c>
      <c r="BE430" s="50">
        <v>0</v>
      </c>
      <c r="BF430" s="50">
        <f>430</f>
        <v>430</v>
      </c>
      <c r="BH430" s="50">
        <f>F430*AO430</f>
        <v>0</v>
      </c>
      <c r="BI430" s="50">
        <f>F430*AP430</f>
        <v>0</v>
      </c>
      <c r="BJ430" s="50">
        <f>F430*G430</f>
        <v>0</v>
      </c>
      <c r="BK430" s="50"/>
      <c r="BL430" s="50">
        <v>713</v>
      </c>
      <c r="BW430" s="50">
        <v>21</v>
      </c>
      <c r="BX430" s="3" t="s">
        <v>708</v>
      </c>
    </row>
    <row r="431" spans="1:76" ht="14.4" x14ac:dyDescent="0.3">
      <c r="A431" s="53"/>
      <c r="C431" s="54" t="s">
        <v>709</v>
      </c>
      <c r="D431" s="54" t="s">
        <v>4</v>
      </c>
      <c r="F431" s="55">
        <v>13.9711</v>
      </c>
      <c r="K431" s="56"/>
    </row>
    <row r="432" spans="1:76" ht="14.4" x14ac:dyDescent="0.3">
      <c r="A432" s="53"/>
      <c r="C432" s="54" t="s">
        <v>710</v>
      </c>
      <c r="D432" s="54" t="s">
        <v>4</v>
      </c>
      <c r="F432" s="55">
        <v>0.69855999999999996</v>
      </c>
      <c r="K432" s="56"/>
    </row>
    <row r="433" spans="1:76" ht="14.4" x14ac:dyDescent="0.3">
      <c r="A433" s="1" t="s">
        <v>711</v>
      </c>
      <c r="B433" s="2" t="s">
        <v>712</v>
      </c>
      <c r="C433" s="75" t="s">
        <v>713</v>
      </c>
      <c r="D433" s="70"/>
      <c r="E433" s="2" t="s">
        <v>216</v>
      </c>
      <c r="F433" s="50">
        <v>126.758</v>
      </c>
      <c r="G433" s="50">
        <v>0</v>
      </c>
      <c r="H433" s="50">
        <f>ROUND(F433*AO433,2)</f>
        <v>0</v>
      </c>
      <c r="I433" s="50">
        <f>ROUND(F433*AP433,2)</f>
        <v>0</v>
      </c>
      <c r="J433" s="50">
        <f>ROUND(F433*G433,2)</f>
        <v>0</v>
      </c>
      <c r="K433" s="51" t="s">
        <v>116</v>
      </c>
      <c r="Z433" s="50">
        <f>ROUND(IF(AQ433="5",BJ433,0),2)</f>
        <v>0</v>
      </c>
      <c r="AB433" s="50">
        <f>ROUND(IF(AQ433="1",BH433,0),2)</f>
        <v>0</v>
      </c>
      <c r="AC433" s="50">
        <f>ROUND(IF(AQ433="1",BI433,0),2)</f>
        <v>0</v>
      </c>
      <c r="AD433" s="50">
        <f>ROUND(IF(AQ433="7",BH433,0),2)</f>
        <v>0</v>
      </c>
      <c r="AE433" s="50">
        <f>ROUND(IF(AQ433="7",BI433,0),2)</f>
        <v>0</v>
      </c>
      <c r="AF433" s="50">
        <f>ROUND(IF(AQ433="2",BH433,0),2)</f>
        <v>0</v>
      </c>
      <c r="AG433" s="50">
        <f>ROUND(IF(AQ433="2",BI433,0),2)</f>
        <v>0</v>
      </c>
      <c r="AH433" s="50">
        <f>ROUND(IF(AQ433="0",BJ433,0),2)</f>
        <v>0</v>
      </c>
      <c r="AI433" s="32" t="s">
        <v>4</v>
      </c>
      <c r="AJ433" s="50">
        <f>IF(AN433=0,J433,0)</f>
        <v>0</v>
      </c>
      <c r="AK433" s="50">
        <f>IF(AN433=12,J433,0)</f>
        <v>0</v>
      </c>
      <c r="AL433" s="50">
        <f>IF(AN433=21,J433,0)</f>
        <v>0</v>
      </c>
      <c r="AN433" s="50">
        <v>21</v>
      </c>
      <c r="AO433" s="50">
        <f>G433*0.028478415</f>
        <v>0</v>
      </c>
      <c r="AP433" s="50">
        <f>G433*(1-0.028478415)</f>
        <v>0</v>
      </c>
      <c r="AQ433" s="52" t="s">
        <v>158</v>
      </c>
      <c r="AV433" s="50">
        <f>ROUND(AW433+AX433,2)</f>
        <v>0</v>
      </c>
      <c r="AW433" s="50">
        <f>ROUND(F433*AO433,2)</f>
        <v>0</v>
      </c>
      <c r="AX433" s="50">
        <f>ROUND(F433*AP433,2)</f>
        <v>0</v>
      </c>
      <c r="AY433" s="52" t="s">
        <v>697</v>
      </c>
      <c r="AZ433" s="52" t="s">
        <v>662</v>
      </c>
      <c r="BA433" s="32" t="s">
        <v>119</v>
      </c>
      <c r="BC433" s="50">
        <f>AW433+AX433</f>
        <v>0</v>
      </c>
      <c r="BD433" s="50">
        <f>G433/(100-BE433)*100</f>
        <v>0</v>
      </c>
      <c r="BE433" s="50">
        <v>0</v>
      </c>
      <c r="BF433" s="50">
        <f>433</f>
        <v>433</v>
      </c>
      <c r="BH433" s="50">
        <f>F433*AO433</f>
        <v>0</v>
      </c>
      <c r="BI433" s="50">
        <f>F433*AP433</f>
        <v>0</v>
      </c>
      <c r="BJ433" s="50">
        <f>F433*G433</f>
        <v>0</v>
      </c>
      <c r="BK433" s="50"/>
      <c r="BL433" s="50">
        <v>713</v>
      </c>
      <c r="BW433" s="50">
        <v>21</v>
      </c>
      <c r="BX433" s="3" t="s">
        <v>713</v>
      </c>
    </row>
    <row r="434" spans="1:76" ht="13.5" customHeight="1" x14ac:dyDescent="0.3">
      <c r="A434" s="53"/>
      <c r="B434" s="57" t="s">
        <v>198</v>
      </c>
      <c r="C434" s="150" t="s">
        <v>714</v>
      </c>
      <c r="D434" s="151"/>
      <c r="E434" s="151"/>
      <c r="F434" s="151"/>
      <c r="G434" s="151"/>
      <c r="H434" s="151"/>
      <c r="I434" s="151"/>
      <c r="J434" s="151"/>
      <c r="K434" s="152"/>
    </row>
    <row r="435" spans="1:76" ht="14.4" x14ac:dyDescent="0.3">
      <c r="A435" s="53"/>
      <c r="C435" s="54" t="s">
        <v>476</v>
      </c>
      <c r="D435" s="54" t="s">
        <v>4</v>
      </c>
      <c r="F435" s="55">
        <v>49.78</v>
      </c>
      <c r="K435" s="56"/>
    </row>
    <row r="436" spans="1:76" ht="14.4" x14ac:dyDescent="0.3">
      <c r="A436" s="53"/>
      <c r="C436" s="54" t="s">
        <v>477</v>
      </c>
      <c r="D436" s="54" t="s">
        <v>4</v>
      </c>
      <c r="F436" s="55">
        <v>6.46</v>
      </c>
      <c r="K436" s="56"/>
    </row>
    <row r="437" spans="1:76" ht="14.4" x14ac:dyDescent="0.3">
      <c r="A437" s="53"/>
      <c r="C437" s="54" t="s">
        <v>478</v>
      </c>
      <c r="D437" s="54" t="s">
        <v>4</v>
      </c>
      <c r="F437" s="55">
        <v>15.96</v>
      </c>
      <c r="K437" s="56"/>
    </row>
    <row r="438" spans="1:76" ht="14.4" x14ac:dyDescent="0.3">
      <c r="A438" s="53"/>
      <c r="C438" s="54" t="s">
        <v>479</v>
      </c>
      <c r="D438" s="54" t="s">
        <v>4</v>
      </c>
      <c r="F438" s="55">
        <v>19.8</v>
      </c>
      <c r="K438" s="56"/>
    </row>
    <row r="439" spans="1:76" ht="14.4" x14ac:dyDescent="0.3">
      <c r="A439" s="53"/>
      <c r="C439" s="54" t="s">
        <v>480</v>
      </c>
      <c r="D439" s="54" t="s">
        <v>4</v>
      </c>
      <c r="F439" s="55">
        <v>-5.4720000000000004</v>
      </c>
      <c r="K439" s="56"/>
    </row>
    <row r="440" spans="1:76" ht="14.4" x14ac:dyDescent="0.3">
      <c r="A440" s="53"/>
      <c r="C440" s="54" t="s">
        <v>481</v>
      </c>
      <c r="D440" s="54" t="s">
        <v>4</v>
      </c>
      <c r="F440" s="55">
        <v>-0.36</v>
      </c>
      <c r="K440" s="56"/>
    </row>
    <row r="441" spans="1:76" ht="14.4" x14ac:dyDescent="0.3">
      <c r="A441" s="53"/>
      <c r="C441" s="54" t="s">
        <v>486</v>
      </c>
      <c r="D441" s="54" t="s">
        <v>4</v>
      </c>
      <c r="F441" s="55">
        <v>3.96</v>
      </c>
      <c r="K441" s="56"/>
    </row>
    <row r="442" spans="1:76" ht="14.4" x14ac:dyDescent="0.3">
      <c r="A442" s="53"/>
      <c r="C442" s="54" t="s">
        <v>715</v>
      </c>
      <c r="D442" s="54" t="s">
        <v>4</v>
      </c>
      <c r="F442" s="55">
        <v>36.630000000000003</v>
      </c>
      <c r="K442" s="56"/>
    </row>
    <row r="443" spans="1:76" ht="14.4" x14ac:dyDescent="0.3">
      <c r="A443" s="1" t="s">
        <v>716</v>
      </c>
      <c r="B443" s="2" t="s">
        <v>717</v>
      </c>
      <c r="C443" s="75" t="s">
        <v>718</v>
      </c>
      <c r="D443" s="70"/>
      <c r="E443" s="2" t="s">
        <v>216</v>
      </c>
      <c r="F443" s="50">
        <v>133.0959</v>
      </c>
      <c r="G443" s="50">
        <v>0</v>
      </c>
      <c r="H443" s="50">
        <f>ROUND(F443*AO443,2)</f>
        <v>0</v>
      </c>
      <c r="I443" s="50">
        <f>ROUND(F443*AP443,2)</f>
        <v>0</v>
      </c>
      <c r="J443" s="50">
        <f>ROUND(F443*G443,2)</f>
        <v>0</v>
      </c>
      <c r="K443" s="51" t="s">
        <v>116</v>
      </c>
      <c r="Z443" s="50">
        <f>ROUND(IF(AQ443="5",BJ443,0),2)</f>
        <v>0</v>
      </c>
      <c r="AB443" s="50">
        <f>ROUND(IF(AQ443="1",BH443,0),2)</f>
        <v>0</v>
      </c>
      <c r="AC443" s="50">
        <f>ROUND(IF(AQ443="1",BI443,0),2)</f>
        <v>0</v>
      </c>
      <c r="AD443" s="50">
        <f>ROUND(IF(AQ443="7",BH443,0),2)</f>
        <v>0</v>
      </c>
      <c r="AE443" s="50">
        <f>ROUND(IF(AQ443="7",BI443,0),2)</f>
        <v>0</v>
      </c>
      <c r="AF443" s="50">
        <f>ROUND(IF(AQ443="2",BH443,0),2)</f>
        <v>0</v>
      </c>
      <c r="AG443" s="50">
        <f>ROUND(IF(AQ443="2",BI443,0),2)</f>
        <v>0</v>
      </c>
      <c r="AH443" s="50">
        <f>ROUND(IF(AQ443="0",BJ443,0),2)</f>
        <v>0</v>
      </c>
      <c r="AI443" s="32" t="s">
        <v>4</v>
      </c>
      <c r="AJ443" s="50">
        <f>IF(AN443=0,J443,0)</f>
        <v>0</v>
      </c>
      <c r="AK443" s="50">
        <f>IF(AN443=12,J443,0)</f>
        <v>0</v>
      </c>
      <c r="AL443" s="50">
        <f>IF(AN443=21,J443,0)</f>
        <v>0</v>
      </c>
      <c r="AN443" s="50">
        <v>21</v>
      </c>
      <c r="AO443" s="50">
        <f>G443*1</f>
        <v>0</v>
      </c>
      <c r="AP443" s="50">
        <f>G443*(1-1)</f>
        <v>0</v>
      </c>
      <c r="AQ443" s="52" t="s">
        <v>158</v>
      </c>
      <c r="AV443" s="50">
        <f>ROUND(AW443+AX443,2)</f>
        <v>0</v>
      </c>
      <c r="AW443" s="50">
        <f>ROUND(F443*AO443,2)</f>
        <v>0</v>
      </c>
      <c r="AX443" s="50">
        <f>ROUND(F443*AP443,2)</f>
        <v>0</v>
      </c>
      <c r="AY443" s="52" t="s">
        <v>697</v>
      </c>
      <c r="AZ443" s="52" t="s">
        <v>662</v>
      </c>
      <c r="BA443" s="32" t="s">
        <v>119</v>
      </c>
      <c r="BC443" s="50">
        <f>AW443+AX443</f>
        <v>0</v>
      </c>
      <c r="BD443" s="50">
        <f>G443/(100-BE443)*100</f>
        <v>0</v>
      </c>
      <c r="BE443" s="50">
        <v>0</v>
      </c>
      <c r="BF443" s="50">
        <f>443</f>
        <v>443</v>
      </c>
      <c r="BH443" s="50">
        <f>F443*AO443</f>
        <v>0</v>
      </c>
      <c r="BI443" s="50">
        <f>F443*AP443</f>
        <v>0</v>
      </c>
      <c r="BJ443" s="50">
        <f>F443*G443</f>
        <v>0</v>
      </c>
      <c r="BK443" s="50"/>
      <c r="BL443" s="50">
        <v>713</v>
      </c>
      <c r="BW443" s="50">
        <v>21</v>
      </c>
      <c r="BX443" s="3" t="s">
        <v>718</v>
      </c>
    </row>
    <row r="444" spans="1:76" ht="14.4" x14ac:dyDescent="0.3">
      <c r="A444" s="53"/>
      <c r="C444" s="54" t="s">
        <v>719</v>
      </c>
      <c r="D444" s="54" t="s">
        <v>4</v>
      </c>
      <c r="F444" s="55">
        <v>126.758</v>
      </c>
      <c r="K444" s="56"/>
    </row>
    <row r="445" spans="1:76" ht="14.4" x14ac:dyDescent="0.3">
      <c r="A445" s="53"/>
      <c r="C445" s="54" t="s">
        <v>720</v>
      </c>
      <c r="D445" s="54" t="s">
        <v>4</v>
      </c>
      <c r="F445" s="55">
        <v>6.3379000000000003</v>
      </c>
      <c r="K445" s="56"/>
    </row>
    <row r="446" spans="1:76" ht="14.4" x14ac:dyDescent="0.3">
      <c r="A446" s="1" t="s">
        <v>721</v>
      </c>
      <c r="B446" s="2" t="s">
        <v>722</v>
      </c>
      <c r="C446" s="75" t="s">
        <v>723</v>
      </c>
      <c r="D446" s="70"/>
      <c r="E446" s="2" t="s">
        <v>216</v>
      </c>
      <c r="F446" s="50">
        <v>133.0959</v>
      </c>
      <c r="G446" s="50">
        <v>0</v>
      </c>
      <c r="H446" s="50">
        <f>ROUND(F446*AO446,2)</f>
        <v>0</v>
      </c>
      <c r="I446" s="50">
        <f>ROUND(F446*AP446,2)</f>
        <v>0</v>
      </c>
      <c r="J446" s="50">
        <f>ROUND(F446*G446,2)</f>
        <v>0</v>
      </c>
      <c r="K446" s="51" t="s">
        <v>116</v>
      </c>
      <c r="Z446" s="50">
        <f>ROUND(IF(AQ446="5",BJ446,0),2)</f>
        <v>0</v>
      </c>
      <c r="AB446" s="50">
        <f>ROUND(IF(AQ446="1",BH446,0),2)</f>
        <v>0</v>
      </c>
      <c r="AC446" s="50">
        <f>ROUND(IF(AQ446="1",BI446,0),2)</f>
        <v>0</v>
      </c>
      <c r="AD446" s="50">
        <f>ROUND(IF(AQ446="7",BH446,0),2)</f>
        <v>0</v>
      </c>
      <c r="AE446" s="50">
        <f>ROUND(IF(AQ446="7",BI446,0),2)</f>
        <v>0</v>
      </c>
      <c r="AF446" s="50">
        <f>ROUND(IF(AQ446="2",BH446,0),2)</f>
        <v>0</v>
      </c>
      <c r="AG446" s="50">
        <f>ROUND(IF(AQ446="2",BI446,0),2)</f>
        <v>0</v>
      </c>
      <c r="AH446" s="50">
        <f>ROUND(IF(AQ446="0",BJ446,0),2)</f>
        <v>0</v>
      </c>
      <c r="AI446" s="32" t="s">
        <v>4</v>
      </c>
      <c r="AJ446" s="50">
        <f>IF(AN446=0,J446,0)</f>
        <v>0</v>
      </c>
      <c r="AK446" s="50">
        <f>IF(AN446=12,J446,0)</f>
        <v>0</v>
      </c>
      <c r="AL446" s="50">
        <f>IF(AN446=21,J446,0)</f>
        <v>0</v>
      </c>
      <c r="AN446" s="50">
        <v>21</v>
      </c>
      <c r="AO446" s="50">
        <f>G446*1</f>
        <v>0</v>
      </c>
      <c r="AP446" s="50">
        <f>G446*(1-1)</f>
        <v>0</v>
      </c>
      <c r="AQ446" s="52" t="s">
        <v>158</v>
      </c>
      <c r="AV446" s="50">
        <f>ROUND(AW446+AX446,2)</f>
        <v>0</v>
      </c>
      <c r="AW446" s="50">
        <f>ROUND(F446*AO446,2)</f>
        <v>0</v>
      </c>
      <c r="AX446" s="50">
        <f>ROUND(F446*AP446,2)</f>
        <v>0</v>
      </c>
      <c r="AY446" s="52" t="s">
        <v>697</v>
      </c>
      <c r="AZ446" s="52" t="s">
        <v>662</v>
      </c>
      <c r="BA446" s="32" t="s">
        <v>119</v>
      </c>
      <c r="BC446" s="50">
        <f>AW446+AX446</f>
        <v>0</v>
      </c>
      <c r="BD446" s="50">
        <f>G446/(100-BE446)*100</f>
        <v>0</v>
      </c>
      <c r="BE446" s="50">
        <v>0</v>
      </c>
      <c r="BF446" s="50">
        <f>446</f>
        <v>446</v>
      </c>
      <c r="BH446" s="50">
        <f>F446*AO446</f>
        <v>0</v>
      </c>
      <c r="BI446" s="50">
        <f>F446*AP446</f>
        <v>0</v>
      </c>
      <c r="BJ446" s="50">
        <f>F446*G446</f>
        <v>0</v>
      </c>
      <c r="BK446" s="50"/>
      <c r="BL446" s="50">
        <v>713</v>
      </c>
      <c r="BW446" s="50">
        <v>21</v>
      </c>
      <c r="BX446" s="3" t="s">
        <v>723</v>
      </c>
    </row>
    <row r="447" spans="1:76" ht="14.4" x14ac:dyDescent="0.3">
      <c r="A447" s="53"/>
      <c r="C447" s="54" t="s">
        <v>719</v>
      </c>
      <c r="D447" s="54" t="s">
        <v>4</v>
      </c>
      <c r="F447" s="55">
        <v>126.758</v>
      </c>
      <c r="K447" s="56"/>
    </row>
    <row r="448" spans="1:76" ht="14.4" x14ac:dyDescent="0.3">
      <c r="A448" s="53"/>
      <c r="C448" s="54" t="s">
        <v>720</v>
      </c>
      <c r="D448" s="54" t="s">
        <v>4</v>
      </c>
      <c r="F448" s="55">
        <v>6.3379000000000003</v>
      </c>
      <c r="K448" s="56"/>
    </row>
    <row r="449" spans="1:76" ht="14.4" x14ac:dyDescent="0.3">
      <c r="A449" s="1" t="s">
        <v>724</v>
      </c>
      <c r="B449" s="2" t="s">
        <v>725</v>
      </c>
      <c r="C449" s="75" t="s">
        <v>726</v>
      </c>
      <c r="D449" s="70"/>
      <c r="E449" s="2" t="s">
        <v>216</v>
      </c>
      <c r="F449" s="50">
        <v>90.128</v>
      </c>
      <c r="G449" s="50">
        <v>0</v>
      </c>
      <c r="H449" s="50">
        <f>ROUND(F449*AO449,2)</f>
        <v>0</v>
      </c>
      <c r="I449" s="50">
        <f>ROUND(F449*AP449,2)</f>
        <v>0</v>
      </c>
      <c r="J449" s="50">
        <f>ROUND(F449*G449,2)</f>
        <v>0</v>
      </c>
      <c r="K449" s="51" t="s">
        <v>116</v>
      </c>
      <c r="Z449" s="50">
        <f>ROUND(IF(AQ449="5",BJ449,0),2)</f>
        <v>0</v>
      </c>
      <c r="AB449" s="50">
        <f>ROUND(IF(AQ449="1",BH449,0),2)</f>
        <v>0</v>
      </c>
      <c r="AC449" s="50">
        <f>ROUND(IF(AQ449="1",BI449,0),2)</f>
        <v>0</v>
      </c>
      <c r="AD449" s="50">
        <f>ROUND(IF(AQ449="7",BH449,0),2)</f>
        <v>0</v>
      </c>
      <c r="AE449" s="50">
        <f>ROUND(IF(AQ449="7",BI449,0),2)</f>
        <v>0</v>
      </c>
      <c r="AF449" s="50">
        <f>ROUND(IF(AQ449="2",BH449,0),2)</f>
        <v>0</v>
      </c>
      <c r="AG449" s="50">
        <f>ROUND(IF(AQ449="2",BI449,0),2)</f>
        <v>0</v>
      </c>
      <c r="AH449" s="50">
        <f>ROUND(IF(AQ449="0",BJ449,0),2)</f>
        <v>0</v>
      </c>
      <c r="AI449" s="32" t="s">
        <v>4</v>
      </c>
      <c r="AJ449" s="50">
        <f>IF(AN449=0,J449,0)</f>
        <v>0</v>
      </c>
      <c r="AK449" s="50">
        <f>IF(AN449=12,J449,0)</f>
        <v>0</v>
      </c>
      <c r="AL449" s="50">
        <f>IF(AN449=21,J449,0)</f>
        <v>0</v>
      </c>
      <c r="AN449" s="50">
        <v>21</v>
      </c>
      <c r="AO449" s="50">
        <f>G449*0.243102035</f>
        <v>0</v>
      </c>
      <c r="AP449" s="50">
        <f>G449*(1-0.243102035)</f>
        <v>0</v>
      </c>
      <c r="AQ449" s="52" t="s">
        <v>158</v>
      </c>
      <c r="AV449" s="50">
        <f>ROUND(AW449+AX449,2)</f>
        <v>0</v>
      </c>
      <c r="AW449" s="50">
        <f>ROUND(F449*AO449,2)</f>
        <v>0</v>
      </c>
      <c r="AX449" s="50">
        <f>ROUND(F449*AP449,2)</f>
        <v>0</v>
      </c>
      <c r="AY449" s="52" t="s">
        <v>697</v>
      </c>
      <c r="AZ449" s="52" t="s">
        <v>662</v>
      </c>
      <c r="BA449" s="32" t="s">
        <v>119</v>
      </c>
      <c r="BC449" s="50">
        <f>AW449+AX449</f>
        <v>0</v>
      </c>
      <c r="BD449" s="50">
        <f>G449/(100-BE449)*100</f>
        <v>0</v>
      </c>
      <c r="BE449" s="50">
        <v>0</v>
      </c>
      <c r="BF449" s="50">
        <f>449</f>
        <v>449</v>
      </c>
      <c r="BH449" s="50">
        <f>F449*AO449</f>
        <v>0</v>
      </c>
      <c r="BI449" s="50">
        <f>F449*AP449</f>
        <v>0</v>
      </c>
      <c r="BJ449" s="50">
        <f>F449*G449</f>
        <v>0</v>
      </c>
      <c r="BK449" s="50"/>
      <c r="BL449" s="50">
        <v>713</v>
      </c>
      <c r="BW449" s="50">
        <v>21</v>
      </c>
      <c r="BX449" s="3" t="s">
        <v>726</v>
      </c>
    </row>
    <row r="450" spans="1:76" ht="13.5" customHeight="1" x14ac:dyDescent="0.3">
      <c r="A450" s="53"/>
      <c r="B450" s="57" t="s">
        <v>198</v>
      </c>
      <c r="C450" s="150" t="s">
        <v>727</v>
      </c>
      <c r="D450" s="151"/>
      <c r="E450" s="151"/>
      <c r="F450" s="151"/>
      <c r="G450" s="151"/>
      <c r="H450" s="151"/>
      <c r="I450" s="151"/>
      <c r="J450" s="151"/>
      <c r="K450" s="152"/>
    </row>
    <row r="451" spans="1:76" ht="14.4" x14ac:dyDescent="0.3">
      <c r="A451" s="53"/>
      <c r="C451" s="54" t="s">
        <v>476</v>
      </c>
      <c r="D451" s="54" t="s">
        <v>4</v>
      </c>
      <c r="F451" s="55">
        <v>49.78</v>
      </c>
      <c r="K451" s="56"/>
    </row>
    <row r="452" spans="1:76" ht="14.4" x14ac:dyDescent="0.3">
      <c r="A452" s="53"/>
      <c r="C452" s="54" t="s">
        <v>477</v>
      </c>
      <c r="D452" s="54" t="s">
        <v>4</v>
      </c>
      <c r="F452" s="55">
        <v>6.46</v>
      </c>
      <c r="K452" s="56"/>
    </row>
    <row r="453" spans="1:76" ht="14.4" x14ac:dyDescent="0.3">
      <c r="A453" s="53"/>
      <c r="C453" s="54" t="s">
        <v>478</v>
      </c>
      <c r="D453" s="54" t="s">
        <v>4</v>
      </c>
      <c r="F453" s="55">
        <v>15.96</v>
      </c>
      <c r="K453" s="56"/>
    </row>
    <row r="454" spans="1:76" ht="14.4" x14ac:dyDescent="0.3">
      <c r="A454" s="53"/>
      <c r="C454" s="54" t="s">
        <v>479</v>
      </c>
      <c r="D454" s="54" t="s">
        <v>4</v>
      </c>
      <c r="F454" s="55">
        <v>19.8</v>
      </c>
      <c r="K454" s="56"/>
    </row>
    <row r="455" spans="1:76" ht="14.4" x14ac:dyDescent="0.3">
      <c r="A455" s="53"/>
      <c r="C455" s="54" t="s">
        <v>480</v>
      </c>
      <c r="D455" s="54" t="s">
        <v>4</v>
      </c>
      <c r="F455" s="55">
        <v>-5.4720000000000004</v>
      </c>
      <c r="K455" s="56"/>
    </row>
    <row r="456" spans="1:76" ht="14.4" x14ac:dyDescent="0.3">
      <c r="A456" s="53"/>
      <c r="C456" s="54" t="s">
        <v>481</v>
      </c>
      <c r="D456" s="54" t="s">
        <v>4</v>
      </c>
      <c r="F456" s="55">
        <v>-0.36</v>
      </c>
      <c r="K456" s="56"/>
    </row>
    <row r="457" spans="1:76" ht="14.4" x14ac:dyDescent="0.3">
      <c r="A457" s="53"/>
      <c r="C457" s="54" t="s">
        <v>486</v>
      </c>
      <c r="D457" s="54" t="s">
        <v>4</v>
      </c>
      <c r="F457" s="55">
        <v>3.96</v>
      </c>
      <c r="K457" s="56"/>
    </row>
    <row r="458" spans="1:76" ht="14.4" x14ac:dyDescent="0.3">
      <c r="A458" s="1" t="s">
        <v>728</v>
      </c>
      <c r="B458" s="2" t="s">
        <v>729</v>
      </c>
      <c r="C458" s="75" t="s">
        <v>730</v>
      </c>
      <c r="D458" s="70"/>
      <c r="E458" s="2" t="s">
        <v>216</v>
      </c>
      <c r="F458" s="50">
        <v>52.56</v>
      </c>
      <c r="G458" s="50">
        <v>0</v>
      </c>
      <c r="H458" s="50">
        <f>ROUND(F458*AO458,2)</f>
        <v>0</v>
      </c>
      <c r="I458" s="50">
        <f>ROUND(F458*AP458,2)</f>
        <v>0</v>
      </c>
      <c r="J458" s="50">
        <f>ROUND(F458*G458,2)</f>
        <v>0</v>
      </c>
      <c r="K458" s="51" t="s">
        <v>116</v>
      </c>
      <c r="Z458" s="50">
        <f>ROUND(IF(AQ458="5",BJ458,0),2)</f>
        <v>0</v>
      </c>
      <c r="AB458" s="50">
        <f>ROUND(IF(AQ458="1",BH458,0),2)</f>
        <v>0</v>
      </c>
      <c r="AC458" s="50">
        <f>ROUND(IF(AQ458="1",BI458,0),2)</f>
        <v>0</v>
      </c>
      <c r="AD458" s="50">
        <f>ROUND(IF(AQ458="7",BH458,0),2)</f>
        <v>0</v>
      </c>
      <c r="AE458" s="50">
        <f>ROUND(IF(AQ458="7",BI458,0),2)</f>
        <v>0</v>
      </c>
      <c r="AF458" s="50">
        <f>ROUND(IF(AQ458="2",BH458,0),2)</f>
        <v>0</v>
      </c>
      <c r="AG458" s="50">
        <f>ROUND(IF(AQ458="2",BI458,0),2)</f>
        <v>0</v>
      </c>
      <c r="AH458" s="50">
        <f>ROUND(IF(AQ458="0",BJ458,0),2)</f>
        <v>0</v>
      </c>
      <c r="AI458" s="32" t="s">
        <v>4</v>
      </c>
      <c r="AJ458" s="50">
        <f>IF(AN458=0,J458,0)</f>
        <v>0</v>
      </c>
      <c r="AK458" s="50">
        <f>IF(AN458=12,J458,0)</f>
        <v>0</v>
      </c>
      <c r="AL458" s="50">
        <f>IF(AN458=21,J458,0)</f>
        <v>0</v>
      </c>
      <c r="AN458" s="50">
        <v>21</v>
      </c>
      <c r="AO458" s="50">
        <f>G458*0</f>
        <v>0</v>
      </c>
      <c r="AP458" s="50">
        <f>G458*(1-0)</f>
        <v>0</v>
      </c>
      <c r="AQ458" s="52" t="s">
        <v>158</v>
      </c>
      <c r="AV458" s="50">
        <f>ROUND(AW458+AX458,2)</f>
        <v>0</v>
      </c>
      <c r="AW458" s="50">
        <f>ROUND(F458*AO458,2)</f>
        <v>0</v>
      </c>
      <c r="AX458" s="50">
        <f>ROUND(F458*AP458,2)</f>
        <v>0</v>
      </c>
      <c r="AY458" s="52" t="s">
        <v>697</v>
      </c>
      <c r="AZ458" s="52" t="s">
        <v>662</v>
      </c>
      <c r="BA458" s="32" t="s">
        <v>119</v>
      </c>
      <c r="BC458" s="50">
        <f>AW458+AX458</f>
        <v>0</v>
      </c>
      <c r="BD458" s="50">
        <f>G458/(100-BE458)*100</f>
        <v>0</v>
      </c>
      <c r="BE458" s="50">
        <v>0</v>
      </c>
      <c r="BF458" s="50">
        <f>458</f>
        <v>458</v>
      </c>
      <c r="BH458" s="50">
        <f>F458*AO458</f>
        <v>0</v>
      </c>
      <c r="BI458" s="50">
        <f>F458*AP458</f>
        <v>0</v>
      </c>
      <c r="BJ458" s="50">
        <f>F458*G458</f>
        <v>0</v>
      </c>
      <c r="BK458" s="50"/>
      <c r="BL458" s="50">
        <v>713</v>
      </c>
      <c r="BW458" s="50">
        <v>21</v>
      </c>
      <c r="BX458" s="3" t="s">
        <v>730</v>
      </c>
    </row>
    <row r="459" spans="1:76" ht="13.5" customHeight="1" x14ac:dyDescent="0.3">
      <c r="A459" s="53"/>
      <c r="B459" s="57" t="s">
        <v>198</v>
      </c>
      <c r="C459" s="150" t="s">
        <v>705</v>
      </c>
      <c r="D459" s="151"/>
      <c r="E459" s="151"/>
      <c r="F459" s="151"/>
      <c r="G459" s="151"/>
      <c r="H459" s="151"/>
      <c r="I459" s="151"/>
      <c r="J459" s="151"/>
      <c r="K459" s="152"/>
    </row>
    <row r="460" spans="1:76" ht="14.4" x14ac:dyDescent="0.3">
      <c r="A460" s="53"/>
      <c r="C460" s="54" t="s">
        <v>655</v>
      </c>
      <c r="D460" s="54" t="s">
        <v>4</v>
      </c>
      <c r="F460" s="55">
        <v>52.56</v>
      </c>
      <c r="K460" s="56"/>
    </row>
    <row r="461" spans="1:76" ht="14.4" x14ac:dyDescent="0.3">
      <c r="A461" s="1" t="s">
        <v>731</v>
      </c>
      <c r="B461" s="2" t="s">
        <v>732</v>
      </c>
      <c r="C461" s="75" t="s">
        <v>733</v>
      </c>
      <c r="D461" s="70"/>
      <c r="E461" s="2" t="s">
        <v>216</v>
      </c>
      <c r="F461" s="50">
        <v>55.188000000000002</v>
      </c>
      <c r="G461" s="50">
        <v>0</v>
      </c>
      <c r="H461" s="50">
        <f>ROUND(F461*AO461,2)</f>
        <v>0</v>
      </c>
      <c r="I461" s="50">
        <f>ROUND(F461*AP461,2)</f>
        <v>0</v>
      </c>
      <c r="J461" s="50">
        <f>ROUND(F461*G461,2)</f>
        <v>0</v>
      </c>
      <c r="K461" s="51" t="s">
        <v>116</v>
      </c>
      <c r="Z461" s="50">
        <f>ROUND(IF(AQ461="5",BJ461,0),2)</f>
        <v>0</v>
      </c>
      <c r="AB461" s="50">
        <f>ROUND(IF(AQ461="1",BH461,0),2)</f>
        <v>0</v>
      </c>
      <c r="AC461" s="50">
        <f>ROUND(IF(AQ461="1",BI461,0),2)</f>
        <v>0</v>
      </c>
      <c r="AD461" s="50">
        <f>ROUND(IF(AQ461="7",BH461,0),2)</f>
        <v>0</v>
      </c>
      <c r="AE461" s="50">
        <f>ROUND(IF(AQ461="7",BI461,0),2)</f>
        <v>0</v>
      </c>
      <c r="AF461" s="50">
        <f>ROUND(IF(AQ461="2",BH461,0),2)</f>
        <v>0</v>
      </c>
      <c r="AG461" s="50">
        <f>ROUND(IF(AQ461="2",BI461,0),2)</f>
        <v>0</v>
      </c>
      <c r="AH461" s="50">
        <f>ROUND(IF(AQ461="0",BJ461,0),2)</f>
        <v>0</v>
      </c>
      <c r="AI461" s="32" t="s">
        <v>4</v>
      </c>
      <c r="AJ461" s="50">
        <f>IF(AN461=0,J461,0)</f>
        <v>0</v>
      </c>
      <c r="AK461" s="50">
        <f>IF(AN461=12,J461,0)</f>
        <v>0</v>
      </c>
      <c r="AL461" s="50">
        <f>IF(AN461=21,J461,0)</f>
        <v>0</v>
      </c>
      <c r="AN461" s="50">
        <v>21</v>
      </c>
      <c r="AO461" s="50">
        <f>G461*1</f>
        <v>0</v>
      </c>
      <c r="AP461" s="50">
        <f>G461*(1-1)</f>
        <v>0</v>
      </c>
      <c r="AQ461" s="52" t="s">
        <v>158</v>
      </c>
      <c r="AV461" s="50">
        <f>ROUND(AW461+AX461,2)</f>
        <v>0</v>
      </c>
      <c r="AW461" s="50">
        <f>ROUND(F461*AO461,2)</f>
        <v>0</v>
      </c>
      <c r="AX461" s="50">
        <f>ROUND(F461*AP461,2)</f>
        <v>0</v>
      </c>
      <c r="AY461" s="52" t="s">
        <v>697</v>
      </c>
      <c r="AZ461" s="52" t="s">
        <v>662</v>
      </c>
      <c r="BA461" s="32" t="s">
        <v>119</v>
      </c>
      <c r="BC461" s="50">
        <f>AW461+AX461</f>
        <v>0</v>
      </c>
      <c r="BD461" s="50">
        <f>G461/(100-BE461)*100</f>
        <v>0</v>
      </c>
      <c r="BE461" s="50">
        <v>0</v>
      </c>
      <c r="BF461" s="50">
        <f>461</f>
        <v>461</v>
      </c>
      <c r="BH461" s="50">
        <f>F461*AO461</f>
        <v>0</v>
      </c>
      <c r="BI461" s="50">
        <f>F461*AP461</f>
        <v>0</v>
      </c>
      <c r="BJ461" s="50">
        <f>F461*G461</f>
        <v>0</v>
      </c>
      <c r="BK461" s="50"/>
      <c r="BL461" s="50">
        <v>713</v>
      </c>
      <c r="BW461" s="50">
        <v>21</v>
      </c>
      <c r="BX461" s="3" t="s">
        <v>733</v>
      </c>
    </row>
    <row r="462" spans="1:76" ht="14.4" x14ac:dyDescent="0.3">
      <c r="A462" s="53"/>
      <c r="C462" s="54" t="s">
        <v>655</v>
      </c>
      <c r="D462" s="54" t="s">
        <v>4</v>
      </c>
      <c r="F462" s="55">
        <v>52.56</v>
      </c>
      <c r="K462" s="56"/>
    </row>
    <row r="463" spans="1:76" ht="14.4" x14ac:dyDescent="0.3">
      <c r="A463" s="53"/>
      <c r="C463" s="54" t="s">
        <v>734</v>
      </c>
      <c r="D463" s="54" t="s">
        <v>4</v>
      </c>
      <c r="F463" s="55">
        <v>2.6280000000000001</v>
      </c>
      <c r="K463" s="56"/>
    </row>
    <row r="464" spans="1:76" ht="14.4" x14ac:dyDescent="0.3">
      <c r="A464" s="1" t="s">
        <v>735</v>
      </c>
      <c r="B464" s="2" t="s">
        <v>736</v>
      </c>
      <c r="C464" s="75" t="s">
        <v>737</v>
      </c>
      <c r="D464" s="70"/>
      <c r="E464" s="2" t="s">
        <v>216</v>
      </c>
      <c r="F464" s="50">
        <v>52.63</v>
      </c>
      <c r="G464" s="50">
        <v>0</v>
      </c>
      <c r="H464" s="50">
        <f>ROUND(F464*AO464,2)</f>
        <v>0</v>
      </c>
      <c r="I464" s="50">
        <f>ROUND(F464*AP464,2)</f>
        <v>0</v>
      </c>
      <c r="J464" s="50">
        <f>ROUND(F464*G464,2)</f>
        <v>0</v>
      </c>
      <c r="K464" s="51" t="s">
        <v>116</v>
      </c>
      <c r="Z464" s="50">
        <f>ROUND(IF(AQ464="5",BJ464,0),2)</f>
        <v>0</v>
      </c>
      <c r="AB464" s="50">
        <f>ROUND(IF(AQ464="1",BH464,0),2)</f>
        <v>0</v>
      </c>
      <c r="AC464" s="50">
        <f>ROUND(IF(AQ464="1",BI464,0),2)</f>
        <v>0</v>
      </c>
      <c r="AD464" s="50">
        <f>ROUND(IF(AQ464="7",BH464,0),2)</f>
        <v>0</v>
      </c>
      <c r="AE464" s="50">
        <f>ROUND(IF(AQ464="7",BI464,0),2)</f>
        <v>0</v>
      </c>
      <c r="AF464" s="50">
        <f>ROUND(IF(AQ464="2",BH464,0),2)</f>
        <v>0</v>
      </c>
      <c r="AG464" s="50">
        <f>ROUND(IF(AQ464="2",BI464,0),2)</f>
        <v>0</v>
      </c>
      <c r="AH464" s="50">
        <f>ROUND(IF(AQ464="0",BJ464,0),2)</f>
        <v>0</v>
      </c>
      <c r="AI464" s="32" t="s">
        <v>4</v>
      </c>
      <c r="AJ464" s="50">
        <f>IF(AN464=0,J464,0)</f>
        <v>0</v>
      </c>
      <c r="AK464" s="50">
        <f>IF(AN464=12,J464,0)</f>
        <v>0</v>
      </c>
      <c r="AL464" s="50">
        <f>IF(AN464=21,J464,0)</f>
        <v>0</v>
      </c>
      <c r="AN464" s="50">
        <v>21</v>
      </c>
      <c r="AO464" s="50">
        <f>G464*0.694744926</f>
        <v>0</v>
      </c>
      <c r="AP464" s="50">
        <f>G464*(1-0.694744926)</f>
        <v>0</v>
      </c>
      <c r="AQ464" s="52" t="s">
        <v>158</v>
      </c>
      <c r="AV464" s="50">
        <f>ROUND(AW464+AX464,2)</f>
        <v>0</v>
      </c>
      <c r="AW464" s="50">
        <f>ROUND(F464*AO464,2)</f>
        <v>0</v>
      </c>
      <c r="AX464" s="50">
        <f>ROUND(F464*AP464,2)</f>
        <v>0</v>
      </c>
      <c r="AY464" s="52" t="s">
        <v>697</v>
      </c>
      <c r="AZ464" s="52" t="s">
        <v>662</v>
      </c>
      <c r="BA464" s="32" t="s">
        <v>119</v>
      </c>
      <c r="BC464" s="50">
        <f>AW464+AX464</f>
        <v>0</v>
      </c>
      <c r="BD464" s="50">
        <f>G464/(100-BE464)*100</f>
        <v>0</v>
      </c>
      <c r="BE464" s="50">
        <v>0</v>
      </c>
      <c r="BF464" s="50">
        <f>464</f>
        <v>464</v>
      </c>
      <c r="BH464" s="50">
        <f>F464*AO464</f>
        <v>0</v>
      </c>
      <c r="BI464" s="50">
        <f>F464*AP464</f>
        <v>0</v>
      </c>
      <c r="BJ464" s="50">
        <f>F464*G464</f>
        <v>0</v>
      </c>
      <c r="BK464" s="50"/>
      <c r="BL464" s="50">
        <v>713</v>
      </c>
      <c r="BW464" s="50">
        <v>21</v>
      </c>
      <c r="BX464" s="3" t="s">
        <v>737</v>
      </c>
    </row>
    <row r="465" spans="1:76" ht="13.5" customHeight="1" x14ac:dyDescent="0.3">
      <c r="A465" s="53"/>
      <c r="B465" s="57" t="s">
        <v>198</v>
      </c>
      <c r="C465" s="150" t="s">
        <v>738</v>
      </c>
      <c r="D465" s="151"/>
      <c r="E465" s="151"/>
      <c r="F465" s="151"/>
      <c r="G465" s="151"/>
      <c r="H465" s="151"/>
      <c r="I465" s="151"/>
      <c r="J465" s="151"/>
      <c r="K465" s="152"/>
    </row>
    <row r="466" spans="1:76" ht="14.4" x14ac:dyDescent="0.3">
      <c r="A466" s="53"/>
      <c r="C466" s="54" t="s">
        <v>739</v>
      </c>
      <c r="D466" s="54" t="s">
        <v>4</v>
      </c>
      <c r="F466" s="55">
        <v>52.63</v>
      </c>
      <c r="K466" s="56"/>
    </row>
    <row r="467" spans="1:76" ht="14.4" x14ac:dyDescent="0.3">
      <c r="A467" s="1" t="s">
        <v>740</v>
      </c>
      <c r="B467" s="2" t="s">
        <v>741</v>
      </c>
      <c r="C467" s="75" t="s">
        <v>742</v>
      </c>
      <c r="D467" s="70"/>
      <c r="E467" s="2" t="s">
        <v>173</v>
      </c>
      <c r="F467" s="50">
        <v>2.9884499999999998</v>
      </c>
      <c r="G467" s="50">
        <v>0</v>
      </c>
      <c r="H467" s="50">
        <f>ROUND(F467*AO467,2)</f>
        <v>0</v>
      </c>
      <c r="I467" s="50">
        <f>ROUND(F467*AP467,2)</f>
        <v>0</v>
      </c>
      <c r="J467" s="50">
        <f>ROUND(F467*G467,2)</f>
        <v>0</v>
      </c>
      <c r="K467" s="51" t="s">
        <v>116</v>
      </c>
      <c r="Z467" s="50">
        <f>ROUND(IF(AQ467="5",BJ467,0),2)</f>
        <v>0</v>
      </c>
      <c r="AB467" s="50">
        <f>ROUND(IF(AQ467="1",BH467,0),2)</f>
        <v>0</v>
      </c>
      <c r="AC467" s="50">
        <f>ROUND(IF(AQ467="1",BI467,0),2)</f>
        <v>0</v>
      </c>
      <c r="AD467" s="50">
        <f>ROUND(IF(AQ467="7",BH467,0),2)</f>
        <v>0</v>
      </c>
      <c r="AE467" s="50">
        <f>ROUND(IF(AQ467="7",BI467,0),2)</f>
        <v>0</v>
      </c>
      <c r="AF467" s="50">
        <f>ROUND(IF(AQ467="2",BH467,0),2)</f>
        <v>0</v>
      </c>
      <c r="AG467" s="50">
        <f>ROUND(IF(AQ467="2",BI467,0),2)</f>
        <v>0</v>
      </c>
      <c r="AH467" s="50">
        <f>ROUND(IF(AQ467="0",BJ467,0),2)</f>
        <v>0</v>
      </c>
      <c r="AI467" s="32" t="s">
        <v>4</v>
      </c>
      <c r="AJ467" s="50">
        <f>IF(AN467=0,J467,0)</f>
        <v>0</v>
      </c>
      <c r="AK467" s="50">
        <f>IF(AN467=12,J467,0)</f>
        <v>0</v>
      </c>
      <c r="AL467" s="50">
        <f>IF(AN467=21,J467,0)</f>
        <v>0</v>
      </c>
      <c r="AN467" s="50">
        <v>21</v>
      </c>
      <c r="AO467" s="50">
        <f>G467*0</f>
        <v>0</v>
      </c>
      <c r="AP467" s="50">
        <f>G467*(1-0)</f>
        <v>0</v>
      </c>
      <c r="AQ467" s="52" t="s">
        <v>147</v>
      </c>
      <c r="AV467" s="50">
        <f>ROUND(AW467+AX467,2)</f>
        <v>0</v>
      </c>
      <c r="AW467" s="50">
        <f>ROUND(F467*AO467,2)</f>
        <v>0</v>
      </c>
      <c r="AX467" s="50">
        <f>ROUND(F467*AP467,2)</f>
        <v>0</v>
      </c>
      <c r="AY467" s="52" t="s">
        <v>697</v>
      </c>
      <c r="AZ467" s="52" t="s">
        <v>662</v>
      </c>
      <c r="BA467" s="32" t="s">
        <v>119</v>
      </c>
      <c r="BC467" s="50">
        <f>AW467+AX467</f>
        <v>0</v>
      </c>
      <c r="BD467" s="50">
        <f>G467/(100-BE467)*100</f>
        <v>0</v>
      </c>
      <c r="BE467" s="50">
        <v>0</v>
      </c>
      <c r="BF467" s="50">
        <f>467</f>
        <v>467</v>
      </c>
      <c r="BH467" s="50">
        <f>F467*AO467</f>
        <v>0</v>
      </c>
      <c r="BI467" s="50">
        <f>F467*AP467</f>
        <v>0</v>
      </c>
      <c r="BJ467" s="50">
        <f>F467*G467</f>
        <v>0</v>
      </c>
      <c r="BK467" s="50"/>
      <c r="BL467" s="50">
        <v>713</v>
      </c>
      <c r="BW467" s="50">
        <v>21</v>
      </c>
      <c r="BX467" s="3" t="s">
        <v>742</v>
      </c>
    </row>
    <row r="468" spans="1:76" ht="14.4" x14ac:dyDescent="0.3">
      <c r="A468" s="46" t="s">
        <v>4</v>
      </c>
      <c r="B468" s="47" t="s">
        <v>743</v>
      </c>
      <c r="C468" s="148" t="s">
        <v>744</v>
      </c>
      <c r="D468" s="149"/>
      <c r="E468" s="48" t="s">
        <v>74</v>
      </c>
      <c r="F468" s="48" t="s">
        <v>74</v>
      </c>
      <c r="G468" s="48" t="s">
        <v>74</v>
      </c>
      <c r="H468" s="26">
        <f>SUM(H469:H506)</f>
        <v>0</v>
      </c>
      <c r="I468" s="26">
        <f>SUM(I469:I506)</f>
        <v>0</v>
      </c>
      <c r="J468" s="26">
        <f>SUM(J469:J506)</f>
        <v>0</v>
      </c>
      <c r="K468" s="49" t="s">
        <v>4</v>
      </c>
      <c r="AI468" s="32" t="s">
        <v>4</v>
      </c>
      <c r="AS468" s="26">
        <f>SUM(AJ469:AJ506)</f>
        <v>0</v>
      </c>
      <c r="AT468" s="26">
        <f>SUM(AK469:AK506)</f>
        <v>0</v>
      </c>
      <c r="AU468" s="26">
        <f>SUM(AL469:AL506)</f>
        <v>0</v>
      </c>
    </row>
    <row r="469" spans="1:76" ht="14.4" x14ac:dyDescent="0.3">
      <c r="A469" s="1" t="s">
        <v>745</v>
      </c>
      <c r="B469" s="2" t="s">
        <v>746</v>
      </c>
      <c r="C469" s="75" t="s">
        <v>747</v>
      </c>
      <c r="D469" s="70"/>
      <c r="E469" s="2" t="s">
        <v>233</v>
      </c>
      <c r="F469" s="50">
        <v>12</v>
      </c>
      <c r="G469" s="50">
        <v>0</v>
      </c>
      <c r="H469" s="50">
        <f>ROUND(F469*AO469,2)</f>
        <v>0</v>
      </c>
      <c r="I469" s="50">
        <f>ROUND(F469*AP469,2)</f>
        <v>0</v>
      </c>
      <c r="J469" s="50">
        <f>ROUND(F469*G469,2)</f>
        <v>0</v>
      </c>
      <c r="K469" s="51" t="s">
        <v>116</v>
      </c>
      <c r="Z469" s="50">
        <f>ROUND(IF(AQ469="5",BJ469,0),2)</f>
        <v>0</v>
      </c>
      <c r="AB469" s="50">
        <f>ROUND(IF(AQ469="1",BH469,0),2)</f>
        <v>0</v>
      </c>
      <c r="AC469" s="50">
        <f>ROUND(IF(AQ469="1",BI469,0),2)</f>
        <v>0</v>
      </c>
      <c r="AD469" s="50">
        <f>ROUND(IF(AQ469="7",BH469,0),2)</f>
        <v>0</v>
      </c>
      <c r="AE469" s="50">
        <f>ROUND(IF(AQ469="7",BI469,0),2)</f>
        <v>0</v>
      </c>
      <c r="AF469" s="50">
        <f>ROUND(IF(AQ469="2",BH469,0),2)</f>
        <v>0</v>
      </c>
      <c r="AG469" s="50">
        <f>ROUND(IF(AQ469="2",BI469,0),2)</f>
        <v>0</v>
      </c>
      <c r="AH469" s="50">
        <f>ROUND(IF(AQ469="0",BJ469,0),2)</f>
        <v>0</v>
      </c>
      <c r="AI469" s="32" t="s">
        <v>4</v>
      </c>
      <c r="AJ469" s="50">
        <f>IF(AN469=0,J469,0)</f>
        <v>0</v>
      </c>
      <c r="AK469" s="50">
        <f>IF(AN469=12,J469,0)</f>
        <v>0</v>
      </c>
      <c r="AL469" s="50">
        <f>IF(AN469=21,J469,0)</f>
        <v>0</v>
      </c>
      <c r="AN469" s="50">
        <v>21</v>
      </c>
      <c r="AO469" s="50">
        <f>G469*0.365822943</f>
        <v>0</v>
      </c>
      <c r="AP469" s="50">
        <f>G469*(1-0.365822943)</f>
        <v>0</v>
      </c>
      <c r="AQ469" s="52" t="s">
        <v>158</v>
      </c>
      <c r="AV469" s="50">
        <f>ROUND(AW469+AX469,2)</f>
        <v>0</v>
      </c>
      <c r="AW469" s="50">
        <f>ROUND(F469*AO469,2)</f>
        <v>0</v>
      </c>
      <c r="AX469" s="50">
        <f>ROUND(F469*AP469,2)</f>
        <v>0</v>
      </c>
      <c r="AY469" s="52" t="s">
        <v>748</v>
      </c>
      <c r="AZ469" s="52" t="s">
        <v>749</v>
      </c>
      <c r="BA469" s="32" t="s">
        <v>119</v>
      </c>
      <c r="BC469" s="50">
        <f>AW469+AX469</f>
        <v>0</v>
      </c>
      <c r="BD469" s="50">
        <f>G469/(100-BE469)*100</f>
        <v>0</v>
      </c>
      <c r="BE469" s="50">
        <v>0</v>
      </c>
      <c r="BF469" s="50">
        <f>469</f>
        <v>469</v>
      </c>
      <c r="BH469" s="50">
        <f>F469*AO469</f>
        <v>0</v>
      </c>
      <c r="BI469" s="50">
        <f>F469*AP469</f>
        <v>0</v>
      </c>
      <c r="BJ469" s="50">
        <f>F469*G469</f>
        <v>0</v>
      </c>
      <c r="BK469" s="50"/>
      <c r="BL469" s="50">
        <v>721</v>
      </c>
      <c r="BW469" s="50">
        <v>21</v>
      </c>
      <c r="BX469" s="3" t="s">
        <v>747</v>
      </c>
    </row>
    <row r="470" spans="1:76" ht="14.4" x14ac:dyDescent="0.3">
      <c r="A470" s="53"/>
      <c r="C470" s="54" t="s">
        <v>192</v>
      </c>
      <c r="D470" s="54" t="s">
        <v>4</v>
      </c>
      <c r="F470" s="55">
        <v>12</v>
      </c>
      <c r="K470" s="56"/>
    </row>
    <row r="471" spans="1:76" ht="14.4" x14ac:dyDescent="0.3">
      <c r="A471" s="1" t="s">
        <v>750</v>
      </c>
      <c r="B471" s="2" t="s">
        <v>751</v>
      </c>
      <c r="C471" s="75" t="s">
        <v>752</v>
      </c>
      <c r="D471" s="70"/>
      <c r="E471" s="2" t="s">
        <v>233</v>
      </c>
      <c r="F471" s="50">
        <v>85</v>
      </c>
      <c r="G471" s="50">
        <v>0</v>
      </c>
      <c r="H471" s="50">
        <f>ROUND(F471*AO471,2)</f>
        <v>0</v>
      </c>
      <c r="I471" s="50">
        <f>ROUND(F471*AP471,2)</f>
        <v>0</v>
      </c>
      <c r="J471" s="50">
        <f>ROUND(F471*G471,2)</f>
        <v>0</v>
      </c>
      <c r="K471" s="51" t="s">
        <v>116</v>
      </c>
      <c r="Z471" s="50">
        <f>ROUND(IF(AQ471="5",BJ471,0),2)</f>
        <v>0</v>
      </c>
      <c r="AB471" s="50">
        <f>ROUND(IF(AQ471="1",BH471,0),2)</f>
        <v>0</v>
      </c>
      <c r="AC471" s="50">
        <f>ROUND(IF(AQ471="1",BI471,0),2)</f>
        <v>0</v>
      </c>
      <c r="AD471" s="50">
        <f>ROUND(IF(AQ471="7",BH471,0),2)</f>
        <v>0</v>
      </c>
      <c r="AE471" s="50">
        <f>ROUND(IF(AQ471="7",BI471,0),2)</f>
        <v>0</v>
      </c>
      <c r="AF471" s="50">
        <f>ROUND(IF(AQ471="2",BH471,0),2)</f>
        <v>0</v>
      </c>
      <c r="AG471" s="50">
        <f>ROUND(IF(AQ471="2",BI471,0),2)</f>
        <v>0</v>
      </c>
      <c r="AH471" s="50">
        <f>ROUND(IF(AQ471="0",BJ471,0),2)</f>
        <v>0</v>
      </c>
      <c r="AI471" s="32" t="s">
        <v>4</v>
      </c>
      <c r="AJ471" s="50">
        <f>IF(AN471=0,J471,0)</f>
        <v>0</v>
      </c>
      <c r="AK471" s="50">
        <f>IF(AN471=12,J471,0)</f>
        <v>0</v>
      </c>
      <c r="AL471" s="50">
        <f>IF(AN471=21,J471,0)</f>
        <v>0</v>
      </c>
      <c r="AN471" s="50">
        <v>21</v>
      </c>
      <c r="AO471" s="50">
        <f>G471*0.442924425</f>
        <v>0</v>
      </c>
      <c r="AP471" s="50">
        <f>G471*(1-0.442924425)</f>
        <v>0</v>
      </c>
      <c r="AQ471" s="52" t="s">
        <v>158</v>
      </c>
      <c r="AV471" s="50">
        <f>ROUND(AW471+AX471,2)</f>
        <v>0</v>
      </c>
      <c r="AW471" s="50">
        <f>ROUND(F471*AO471,2)</f>
        <v>0</v>
      </c>
      <c r="AX471" s="50">
        <f>ROUND(F471*AP471,2)</f>
        <v>0</v>
      </c>
      <c r="AY471" s="52" t="s">
        <v>748</v>
      </c>
      <c r="AZ471" s="52" t="s">
        <v>749</v>
      </c>
      <c r="BA471" s="32" t="s">
        <v>119</v>
      </c>
      <c r="BC471" s="50">
        <f>AW471+AX471</f>
        <v>0</v>
      </c>
      <c r="BD471" s="50">
        <f>G471/(100-BE471)*100</f>
        <v>0</v>
      </c>
      <c r="BE471" s="50">
        <v>0</v>
      </c>
      <c r="BF471" s="50">
        <f>471</f>
        <v>471</v>
      </c>
      <c r="BH471" s="50">
        <f>F471*AO471</f>
        <v>0</v>
      </c>
      <c r="BI471" s="50">
        <f>F471*AP471</f>
        <v>0</v>
      </c>
      <c r="BJ471" s="50">
        <f>F471*G471</f>
        <v>0</v>
      </c>
      <c r="BK471" s="50"/>
      <c r="BL471" s="50">
        <v>721</v>
      </c>
      <c r="BW471" s="50">
        <v>21</v>
      </c>
      <c r="BX471" s="3" t="s">
        <v>752</v>
      </c>
    </row>
    <row r="472" spans="1:76" ht="14.4" x14ac:dyDescent="0.3">
      <c r="A472" s="53"/>
      <c r="C472" s="54" t="s">
        <v>222</v>
      </c>
      <c r="D472" s="54" t="s">
        <v>4</v>
      </c>
      <c r="F472" s="55">
        <v>21</v>
      </c>
      <c r="K472" s="56"/>
    </row>
    <row r="473" spans="1:76" ht="14.4" x14ac:dyDescent="0.3">
      <c r="A473" s="53"/>
      <c r="C473" s="54" t="s">
        <v>432</v>
      </c>
      <c r="D473" s="54" t="s">
        <v>131</v>
      </c>
      <c r="F473" s="55">
        <v>64</v>
      </c>
      <c r="K473" s="56"/>
    </row>
    <row r="474" spans="1:76" ht="14.4" x14ac:dyDescent="0.3">
      <c r="A474" s="1" t="s">
        <v>753</v>
      </c>
      <c r="B474" s="2" t="s">
        <v>754</v>
      </c>
      <c r="C474" s="75" t="s">
        <v>755</v>
      </c>
      <c r="D474" s="70"/>
      <c r="E474" s="2" t="s">
        <v>233</v>
      </c>
      <c r="F474" s="50">
        <v>6</v>
      </c>
      <c r="G474" s="50">
        <v>0</v>
      </c>
      <c r="H474" s="50">
        <f>ROUND(F474*AO474,2)</f>
        <v>0</v>
      </c>
      <c r="I474" s="50">
        <f>ROUND(F474*AP474,2)</f>
        <v>0</v>
      </c>
      <c r="J474" s="50">
        <f>ROUND(F474*G474,2)</f>
        <v>0</v>
      </c>
      <c r="K474" s="51" t="s">
        <v>116</v>
      </c>
      <c r="Z474" s="50">
        <f>ROUND(IF(AQ474="5",BJ474,0),2)</f>
        <v>0</v>
      </c>
      <c r="AB474" s="50">
        <f>ROUND(IF(AQ474="1",BH474,0),2)</f>
        <v>0</v>
      </c>
      <c r="AC474" s="50">
        <f>ROUND(IF(AQ474="1",BI474,0),2)</f>
        <v>0</v>
      </c>
      <c r="AD474" s="50">
        <f>ROUND(IF(AQ474="7",BH474,0),2)</f>
        <v>0</v>
      </c>
      <c r="AE474" s="50">
        <f>ROUND(IF(AQ474="7",BI474,0),2)</f>
        <v>0</v>
      </c>
      <c r="AF474" s="50">
        <f>ROUND(IF(AQ474="2",BH474,0),2)</f>
        <v>0</v>
      </c>
      <c r="AG474" s="50">
        <f>ROUND(IF(AQ474="2",BI474,0),2)</f>
        <v>0</v>
      </c>
      <c r="AH474" s="50">
        <f>ROUND(IF(AQ474="0",BJ474,0),2)</f>
        <v>0</v>
      </c>
      <c r="AI474" s="32" t="s">
        <v>4</v>
      </c>
      <c r="AJ474" s="50">
        <f>IF(AN474=0,J474,0)</f>
        <v>0</v>
      </c>
      <c r="AK474" s="50">
        <f>IF(AN474=12,J474,0)</f>
        <v>0</v>
      </c>
      <c r="AL474" s="50">
        <f>IF(AN474=21,J474,0)</f>
        <v>0</v>
      </c>
      <c r="AN474" s="50">
        <v>21</v>
      </c>
      <c r="AO474" s="50">
        <f>G474*0.598073585</f>
        <v>0</v>
      </c>
      <c r="AP474" s="50">
        <f>G474*(1-0.598073585)</f>
        <v>0</v>
      </c>
      <c r="AQ474" s="52" t="s">
        <v>158</v>
      </c>
      <c r="AV474" s="50">
        <f>ROUND(AW474+AX474,2)</f>
        <v>0</v>
      </c>
      <c r="AW474" s="50">
        <f>ROUND(F474*AO474,2)</f>
        <v>0</v>
      </c>
      <c r="AX474" s="50">
        <f>ROUND(F474*AP474,2)</f>
        <v>0</v>
      </c>
      <c r="AY474" s="52" t="s">
        <v>748</v>
      </c>
      <c r="AZ474" s="52" t="s">
        <v>749</v>
      </c>
      <c r="BA474" s="32" t="s">
        <v>119</v>
      </c>
      <c r="BC474" s="50">
        <f>AW474+AX474</f>
        <v>0</v>
      </c>
      <c r="BD474" s="50">
        <f>G474/(100-BE474)*100</f>
        <v>0</v>
      </c>
      <c r="BE474" s="50">
        <v>0</v>
      </c>
      <c r="BF474" s="50">
        <f>474</f>
        <v>474</v>
      </c>
      <c r="BH474" s="50">
        <f>F474*AO474</f>
        <v>0</v>
      </c>
      <c r="BI474" s="50">
        <f>F474*AP474</f>
        <v>0</v>
      </c>
      <c r="BJ474" s="50">
        <f>F474*G474</f>
        <v>0</v>
      </c>
      <c r="BK474" s="50"/>
      <c r="BL474" s="50">
        <v>721</v>
      </c>
      <c r="BW474" s="50">
        <v>21</v>
      </c>
      <c r="BX474" s="3" t="s">
        <v>755</v>
      </c>
    </row>
    <row r="475" spans="1:76" ht="14.4" x14ac:dyDescent="0.3">
      <c r="A475" s="53"/>
      <c r="C475" s="54" t="s">
        <v>150</v>
      </c>
      <c r="D475" s="54" t="s">
        <v>4</v>
      </c>
      <c r="F475" s="55">
        <v>6</v>
      </c>
      <c r="K475" s="56"/>
    </row>
    <row r="476" spans="1:76" ht="14.4" x14ac:dyDescent="0.3">
      <c r="A476" s="1" t="s">
        <v>756</v>
      </c>
      <c r="B476" s="2" t="s">
        <v>757</v>
      </c>
      <c r="C476" s="75" t="s">
        <v>758</v>
      </c>
      <c r="D476" s="70"/>
      <c r="E476" s="2" t="s">
        <v>233</v>
      </c>
      <c r="F476" s="50">
        <v>21</v>
      </c>
      <c r="G476" s="50">
        <v>0</v>
      </c>
      <c r="H476" s="50">
        <f>ROUND(F476*AO476,2)</f>
        <v>0</v>
      </c>
      <c r="I476" s="50">
        <f>ROUND(F476*AP476,2)</f>
        <v>0</v>
      </c>
      <c r="J476" s="50">
        <f>ROUND(F476*G476,2)</f>
        <v>0</v>
      </c>
      <c r="K476" s="51" t="s">
        <v>116</v>
      </c>
      <c r="Z476" s="50">
        <f>ROUND(IF(AQ476="5",BJ476,0),2)</f>
        <v>0</v>
      </c>
      <c r="AB476" s="50">
        <f>ROUND(IF(AQ476="1",BH476,0),2)</f>
        <v>0</v>
      </c>
      <c r="AC476" s="50">
        <f>ROUND(IF(AQ476="1",BI476,0),2)</f>
        <v>0</v>
      </c>
      <c r="AD476" s="50">
        <f>ROUND(IF(AQ476="7",BH476,0),2)</f>
        <v>0</v>
      </c>
      <c r="AE476" s="50">
        <f>ROUND(IF(AQ476="7",BI476,0),2)</f>
        <v>0</v>
      </c>
      <c r="AF476" s="50">
        <f>ROUND(IF(AQ476="2",BH476,0),2)</f>
        <v>0</v>
      </c>
      <c r="AG476" s="50">
        <f>ROUND(IF(AQ476="2",BI476,0),2)</f>
        <v>0</v>
      </c>
      <c r="AH476" s="50">
        <f>ROUND(IF(AQ476="0",BJ476,0),2)</f>
        <v>0</v>
      </c>
      <c r="AI476" s="32" t="s">
        <v>4</v>
      </c>
      <c r="AJ476" s="50">
        <f>IF(AN476=0,J476,0)</f>
        <v>0</v>
      </c>
      <c r="AK476" s="50">
        <f>IF(AN476=12,J476,0)</f>
        <v>0</v>
      </c>
      <c r="AL476" s="50">
        <f>IF(AN476=21,J476,0)</f>
        <v>0</v>
      </c>
      <c r="AN476" s="50">
        <v>21</v>
      </c>
      <c r="AO476" s="50">
        <f>G476*0.372245658</f>
        <v>0</v>
      </c>
      <c r="AP476" s="50">
        <f>G476*(1-0.372245658)</f>
        <v>0</v>
      </c>
      <c r="AQ476" s="52" t="s">
        <v>158</v>
      </c>
      <c r="AV476" s="50">
        <f>ROUND(AW476+AX476,2)</f>
        <v>0</v>
      </c>
      <c r="AW476" s="50">
        <f>ROUND(F476*AO476,2)</f>
        <v>0</v>
      </c>
      <c r="AX476" s="50">
        <f>ROUND(F476*AP476,2)</f>
        <v>0</v>
      </c>
      <c r="AY476" s="52" t="s">
        <v>748</v>
      </c>
      <c r="AZ476" s="52" t="s">
        <v>749</v>
      </c>
      <c r="BA476" s="32" t="s">
        <v>119</v>
      </c>
      <c r="BC476" s="50">
        <f>AW476+AX476</f>
        <v>0</v>
      </c>
      <c r="BD476" s="50">
        <f>G476/(100-BE476)*100</f>
        <v>0</v>
      </c>
      <c r="BE476" s="50">
        <v>0</v>
      </c>
      <c r="BF476" s="50">
        <f>476</f>
        <v>476</v>
      </c>
      <c r="BH476" s="50">
        <f>F476*AO476</f>
        <v>0</v>
      </c>
      <c r="BI476" s="50">
        <f>F476*AP476</f>
        <v>0</v>
      </c>
      <c r="BJ476" s="50">
        <f>F476*G476</f>
        <v>0</v>
      </c>
      <c r="BK476" s="50"/>
      <c r="BL476" s="50">
        <v>721</v>
      </c>
      <c r="BW476" s="50">
        <v>21</v>
      </c>
      <c r="BX476" s="3" t="s">
        <v>758</v>
      </c>
    </row>
    <row r="477" spans="1:76" ht="14.4" x14ac:dyDescent="0.3">
      <c r="A477" s="53"/>
      <c r="C477" s="54" t="s">
        <v>161</v>
      </c>
      <c r="D477" s="54" t="s">
        <v>4</v>
      </c>
      <c r="F477" s="55">
        <v>16</v>
      </c>
      <c r="K477" s="56"/>
    </row>
    <row r="478" spans="1:76" ht="14.4" x14ac:dyDescent="0.3">
      <c r="A478" s="53"/>
      <c r="C478" s="54" t="s">
        <v>147</v>
      </c>
      <c r="D478" s="54" t="s">
        <v>759</v>
      </c>
      <c r="F478" s="55">
        <v>5</v>
      </c>
      <c r="K478" s="56"/>
    </row>
    <row r="479" spans="1:76" ht="14.4" x14ac:dyDescent="0.3">
      <c r="A479" s="1" t="s">
        <v>760</v>
      </c>
      <c r="B479" s="2" t="s">
        <v>761</v>
      </c>
      <c r="C479" s="75" t="s">
        <v>762</v>
      </c>
      <c r="D479" s="70"/>
      <c r="E479" s="2" t="s">
        <v>233</v>
      </c>
      <c r="F479" s="50">
        <v>12</v>
      </c>
      <c r="G479" s="50">
        <v>0</v>
      </c>
      <c r="H479" s="50">
        <f>ROUND(F479*AO479,2)</f>
        <v>0</v>
      </c>
      <c r="I479" s="50">
        <f>ROUND(F479*AP479,2)</f>
        <v>0</v>
      </c>
      <c r="J479" s="50">
        <f>ROUND(F479*G479,2)</f>
        <v>0</v>
      </c>
      <c r="K479" s="51" t="s">
        <v>116</v>
      </c>
      <c r="Z479" s="50">
        <f>ROUND(IF(AQ479="5",BJ479,0),2)</f>
        <v>0</v>
      </c>
      <c r="AB479" s="50">
        <f>ROUND(IF(AQ479="1",BH479,0),2)</f>
        <v>0</v>
      </c>
      <c r="AC479" s="50">
        <f>ROUND(IF(AQ479="1",BI479,0),2)</f>
        <v>0</v>
      </c>
      <c r="AD479" s="50">
        <f>ROUND(IF(AQ479="7",BH479,0),2)</f>
        <v>0</v>
      </c>
      <c r="AE479" s="50">
        <f>ROUND(IF(AQ479="7",BI479,0),2)</f>
        <v>0</v>
      </c>
      <c r="AF479" s="50">
        <f>ROUND(IF(AQ479="2",BH479,0),2)</f>
        <v>0</v>
      </c>
      <c r="AG479" s="50">
        <f>ROUND(IF(AQ479="2",BI479,0),2)</f>
        <v>0</v>
      </c>
      <c r="AH479" s="50">
        <f>ROUND(IF(AQ479="0",BJ479,0),2)</f>
        <v>0</v>
      </c>
      <c r="AI479" s="32" t="s">
        <v>4</v>
      </c>
      <c r="AJ479" s="50">
        <f>IF(AN479=0,J479,0)</f>
        <v>0</v>
      </c>
      <c r="AK479" s="50">
        <f>IF(AN479=12,J479,0)</f>
        <v>0</v>
      </c>
      <c r="AL479" s="50">
        <f>IF(AN479=21,J479,0)</f>
        <v>0</v>
      </c>
      <c r="AN479" s="50">
        <v>21</v>
      </c>
      <c r="AO479" s="50">
        <f>G479*0.29672973</f>
        <v>0</v>
      </c>
      <c r="AP479" s="50">
        <f>G479*(1-0.29672973)</f>
        <v>0</v>
      </c>
      <c r="AQ479" s="52" t="s">
        <v>158</v>
      </c>
      <c r="AV479" s="50">
        <f>ROUND(AW479+AX479,2)</f>
        <v>0</v>
      </c>
      <c r="AW479" s="50">
        <f>ROUND(F479*AO479,2)</f>
        <v>0</v>
      </c>
      <c r="AX479" s="50">
        <f>ROUND(F479*AP479,2)</f>
        <v>0</v>
      </c>
      <c r="AY479" s="52" t="s">
        <v>748</v>
      </c>
      <c r="AZ479" s="52" t="s">
        <v>749</v>
      </c>
      <c r="BA479" s="32" t="s">
        <v>119</v>
      </c>
      <c r="BC479" s="50">
        <f>AW479+AX479</f>
        <v>0</v>
      </c>
      <c r="BD479" s="50">
        <f>G479/(100-BE479)*100</f>
        <v>0</v>
      </c>
      <c r="BE479" s="50">
        <v>0</v>
      </c>
      <c r="BF479" s="50">
        <f>479</f>
        <v>479</v>
      </c>
      <c r="BH479" s="50">
        <f>F479*AO479</f>
        <v>0</v>
      </c>
      <c r="BI479" s="50">
        <f>F479*AP479</f>
        <v>0</v>
      </c>
      <c r="BJ479" s="50">
        <f>F479*G479</f>
        <v>0</v>
      </c>
      <c r="BK479" s="50"/>
      <c r="BL479" s="50">
        <v>721</v>
      </c>
      <c r="BW479" s="50">
        <v>21</v>
      </c>
      <c r="BX479" s="3" t="s">
        <v>762</v>
      </c>
    </row>
    <row r="480" spans="1:76" ht="14.4" x14ac:dyDescent="0.3">
      <c r="A480" s="53"/>
      <c r="C480" s="54" t="s">
        <v>763</v>
      </c>
      <c r="D480" s="54" t="s">
        <v>4</v>
      </c>
      <c r="F480" s="55">
        <v>12</v>
      </c>
      <c r="K480" s="56"/>
    </row>
    <row r="481" spans="1:76" ht="14.4" x14ac:dyDescent="0.3">
      <c r="A481" s="1" t="s">
        <v>764</v>
      </c>
      <c r="B481" s="2" t="s">
        <v>765</v>
      </c>
      <c r="C481" s="75" t="s">
        <v>766</v>
      </c>
      <c r="D481" s="70"/>
      <c r="E481" s="2" t="s">
        <v>278</v>
      </c>
      <c r="F481" s="50">
        <v>5</v>
      </c>
      <c r="G481" s="50">
        <v>0</v>
      </c>
      <c r="H481" s="50">
        <f>ROUND(F481*AO481,2)</f>
        <v>0</v>
      </c>
      <c r="I481" s="50">
        <f>ROUND(F481*AP481,2)</f>
        <v>0</v>
      </c>
      <c r="J481" s="50">
        <f>ROUND(F481*G481,2)</f>
        <v>0</v>
      </c>
      <c r="K481" s="51" t="s">
        <v>116</v>
      </c>
      <c r="Z481" s="50">
        <f>ROUND(IF(AQ481="5",BJ481,0),2)</f>
        <v>0</v>
      </c>
      <c r="AB481" s="50">
        <f>ROUND(IF(AQ481="1",BH481,0),2)</f>
        <v>0</v>
      </c>
      <c r="AC481" s="50">
        <f>ROUND(IF(AQ481="1",BI481,0),2)</f>
        <v>0</v>
      </c>
      <c r="AD481" s="50">
        <f>ROUND(IF(AQ481="7",BH481,0),2)</f>
        <v>0</v>
      </c>
      <c r="AE481" s="50">
        <f>ROUND(IF(AQ481="7",BI481,0),2)</f>
        <v>0</v>
      </c>
      <c r="AF481" s="50">
        <f>ROUND(IF(AQ481="2",BH481,0),2)</f>
        <v>0</v>
      </c>
      <c r="AG481" s="50">
        <f>ROUND(IF(AQ481="2",BI481,0),2)</f>
        <v>0</v>
      </c>
      <c r="AH481" s="50">
        <f>ROUND(IF(AQ481="0",BJ481,0),2)</f>
        <v>0</v>
      </c>
      <c r="AI481" s="32" t="s">
        <v>4</v>
      </c>
      <c r="AJ481" s="50">
        <f>IF(AN481=0,J481,0)</f>
        <v>0</v>
      </c>
      <c r="AK481" s="50">
        <f>IF(AN481=12,J481,0)</f>
        <v>0</v>
      </c>
      <c r="AL481" s="50">
        <f>IF(AN481=21,J481,0)</f>
        <v>0</v>
      </c>
      <c r="AN481" s="50">
        <v>21</v>
      </c>
      <c r="AO481" s="50">
        <f>G481*0.933286604</f>
        <v>0</v>
      </c>
      <c r="AP481" s="50">
        <f>G481*(1-0.933286604)</f>
        <v>0</v>
      </c>
      <c r="AQ481" s="52" t="s">
        <v>158</v>
      </c>
      <c r="AV481" s="50">
        <f>ROUND(AW481+AX481,2)</f>
        <v>0</v>
      </c>
      <c r="AW481" s="50">
        <f>ROUND(F481*AO481,2)</f>
        <v>0</v>
      </c>
      <c r="AX481" s="50">
        <f>ROUND(F481*AP481,2)</f>
        <v>0</v>
      </c>
      <c r="AY481" s="52" t="s">
        <v>748</v>
      </c>
      <c r="AZ481" s="52" t="s">
        <v>749</v>
      </c>
      <c r="BA481" s="32" t="s">
        <v>119</v>
      </c>
      <c r="BC481" s="50">
        <f>AW481+AX481</f>
        <v>0</v>
      </c>
      <c r="BD481" s="50">
        <f>G481/(100-BE481)*100</f>
        <v>0</v>
      </c>
      <c r="BE481" s="50">
        <v>0</v>
      </c>
      <c r="BF481" s="50">
        <f>481</f>
        <v>481</v>
      </c>
      <c r="BH481" s="50">
        <f>F481*AO481</f>
        <v>0</v>
      </c>
      <c r="BI481" s="50">
        <f>F481*AP481</f>
        <v>0</v>
      </c>
      <c r="BJ481" s="50">
        <f>F481*G481</f>
        <v>0</v>
      </c>
      <c r="BK481" s="50"/>
      <c r="BL481" s="50">
        <v>721</v>
      </c>
      <c r="BW481" s="50">
        <v>21</v>
      </c>
      <c r="BX481" s="3" t="s">
        <v>766</v>
      </c>
    </row>
    <row r="482" spans="1:76" ht="13.5" customHeight="1" x14ac:dyDescent="0.3">
      <c r="A482" s="53"/>
      <c r="B482" s="57" t="s">
        <v>198</v>
      </c>
      <c r="C482" s="150" t="s">
        <v>767</v>
      </c>
      <c r="D482" s="151"/>
      <c r="E482" s="151"/>
      <c r="F482" s="151"/>
      <c r="G482" s="151"/>
      <c r="H482" s="151"/>
      <c r="I482" s="151"/>
      <c r="J482" s="151"/>
      <c r="K482" s="152"/>
    </row>
    <row r="483" spans="1:76" ht="14.4" x14ac:dyDescent="0.3">
      <c r="A483" s="53"/>
      <c r="C483" s="54" t="s">
        <v>147</v>
      </c>
      <c r="D483" s="54" t="s">
        <v>4</v>
      </c>
      <c r="F483" s="55">
        <v>5</v>
      </c>
      <c r="K483" s="56"/>
    </row>
    <row r="484" spans="1:76" ht="14.4" x14ac:dyDescent="0.3">
      <c r="A484" s="1" t="s">
        <v>768</v>
      </c>
      <c r="B484" s="2" t="s">
        <v>769</v>
      </c>
      <c r="C484" s="75" t="s">
        <v>770</v>
      </c>
      <c r="D484" s="70"/>
      <c r="E484" s="2" t="s">
        <v>278</v>
      </c>
      <c r="F484" s="50">
        <v>4</v>
      </c>
      <c r="G484" s="50">
        <v>0</v>
      </c>
      <c r="H484" s="50">
        <f>ROUND(F484*AO484,2)</f>
        <v>0</v>
      </c>
      <c r="I484" s="50">
        <f>ROUND(F484*AP484,2)</f>
        <v>0</v>
      </c>
      <c r="J484" s="50">
        <f>ROUND(F484*G484,2)</f>
        <v>0</v>
      </c>
      <c r="K484" s="51" t="s">
        <v>116</v>
      </c>
      <c r="Z484" s="50">
        <f>ROUND(IF(AQ484="5",BJ484,0),2)</f>
        <v>0</v>
      </c>
      <c r="AB484" s="50">
        <f>ROUND(IF(AQ484="1",BH484,0),2)</f>
        <v>0</v>
      </c>
      <c r="AC484" s="50">
        <f>ROUND(IF(AQ484="1",BI484,0),2)</f>
        <v>0</v>
      </c>
      <c r="AD484" s="50">
        <f>ROUND(IF(AQ484="7",BH484,0),2)</f>
        <v>0</v>
      </c>
      <c r="AE484" s="50">
        <f>ROUND(IF(AQ484="7",BI484,0),2)</f>
        <v>0</v>
      </c>
      <c r="AF484" s="50">
        <f>ROUND(IF(AQ484="2",BH484,0),2)</f>
        <v>0</v>
      </c>
      <c r="AG484" s="50">
        <f>ROUND(IF(AQ484="2",BI484,0),2)</f>
        <v>0</v>
      </c>
      <c r="AH484" s="50">
        <f>ROUND(IF(AQ484="0",BJ484,0),2)</f>
        <v>0</v>
      </c>
      <c r="AI484" s="32" t="s">
        <v>4</v>
      </c>
      <c r="AJ484" s="50">
        <f>IF(AN484=0,J484,0)</f>
        <v>0</v>
      </c>
      <c r="AK484" s="50">
        <f>IF(AN484=12,J484,0)</f>
        <v>0</v>
      </c>
      <c r="AL484" s="50">
        <f>IF(AN484=21,J484,0)</f>
        <v>0</v>
      </c>
      <c r="AN484" s="50">
        <v>21</v>
      </c>
      <c r="AO484" s="50">
        <f>G484*0.955810755</f>
        <v>0</v>
      </c>
      <c r="AP484" s="50">
        <f>G484*(1-0.955810755)</f>
        <v>0</v>
      </c>
      <c r="AQ484" s="52" t="s">
        <v>158</v>
      </c>
      <c r="AV484" s="50">
        <f>ROUND(AW484+AX484,2)</f>
        <v>0</v>
      </c>
      <c r="AW484" s="50">
        <f>ROUND(F484*AO484,2)</f>
        <v>0</v>
      </c>
      <c r="AX484" s="50">
        <f>ROUND(F484*AP484,2)</f>
        <v>0</v>
      </c>
      <c r="AY484" s="52" t="s">
        <v>748</v>
      </c>
      <c r="AZ484" s="52" t="s">
        <v>749</v>
      </c>
      <c r="BA484" s="32" t="s">
        <v>119</v>
      </c>
      <c r="BC484" s="50">
        <f>AW484+AX484</f>
        <v>0</v>
      </c>
      <c r="BD484" s="50">
        <f>G484/(100-BE484)*100</f>
        <v>0</v>
      </c>
      <c r="BE484" s="50">
        <v>0</v>
      </c>
      <c r="BF484" s="50">
        <f>484</f>
        <v>484</v>
      </c>
      <c r="BH484" s="50">
        <f>F484*AO484</f>
        <v>0</v>
      </c>
      <c r="BI484" s="50">
        <f>F484*AP484</f>
        <v>0</v>
      </c>
      <c r="BJ484" s="50">
        <f>F484*G484</f>
        <v>0</v>
      </c>
      <c r="BK484" s="50"/>
      <c r="BL484" s="50">
        <v>721</v>
      </c>
      <c r="BW484" s="50">
        <v>21</v>
      </c>
      <c r="BX484" s="3" t="s">
        <v>770</v>
      </c>
    </row>
    <row r="485" spans="1:76" ht="13.5" customHeight="1" x14ac:dyDescent="0.3">
      <c r="A485" s="53"/>
      <c r="B485" s="57" t="s">
        <v>198</v>
      </c>
      <c r="C485" s="150" t="s">
        <v>771</v>
      </c>
      <c r="D485" s="151"/>
      <c r="E485" s="151"/>
      <c r="F485" s="151"/>
      <c r="G485" s="151"/>
      <c r="H485" s="151"/>
      <c r="I485" s="151"/>
      <c r="J485" s="151"/>
      <c r="K485" s="152"/>
    </row>
    <row r="486" spans="1:76" ht="14.4" x14ac:dyDescent="0.3">
      <c r="A486" s="53"/>
      <c r="C486" s="54" t="s">
        <v>140</v>
      </c>
      <c r="D486" s="54" t="s">
        <v>4</v>
      </c>
      <c r="F486" s="55">
        <v>4</v>
      </c>
      <c r="K486" s="56"/>
    </row>
    <row r="487" spans="1:76" ht="14.4" x14ac:dyDescent="0.3">
      <c r="A487" s="1" t="s">
        <v>772</v>
      </c>
      <c r="B487" s="2" t="s">
        <v>773</v>
      </c>
      <c r="C487" s="75" t="s">
        <v>774</v>
      </c>
      <c r="D487" s="70"/>
      <c r="E487" s="2" t="s">
        <v>278</v>
      </c>
      <c r="F487" s="50">
        <v>2</v>
      </c>
      <c r="G487" s="50">
        <v>0</v>
      </c>
      <c r="H487" s="50">
        <f>ROUND(F487*AO487,2)</f>
        <v>0</v>
      </c>
      <c r="I487" s="50">
        <f>ROUND(F487*AP487,2)</f>
        <v>0</v>
      </c>
      <c r="J487" s="50">
        <f>ROUND(F487*G487,2)</f>
        <v>0</v>
      </c>
      <c r="K487" s="51" t="s">
        <v>116</v>
      </c>
      <c r="Z487" s="50">
        <f>ROUND(IF(AQ487="5",BJ487,0),2)</f>
        <v>0</v>
      </c>
      <c r="AB487" s="50">
        <f>ROUND(IF(AQ487="1",BH487,0),2)</f>
        <v>0</v>
      </c>
      <c r="AC487" s="50">
        <f>ROUND(IF(AQ487="1",BI487,0),2)</f>
        <v>0</v>
      </c>
      <c r="AD487" s="50">
        <f>ROUND(IF(AQ487="7",BH487,0),2)</f>
        <v>0</v>
      </c>
      <c r="AE487" s="50">
        <f>ROUND(IF(AQ487="7",BI487,0),2)</f>
        <v>0</v>
      </c>
      <c r="AF487" s="50">
        <f>ROUND(IF(AQ487="2",BH487,0),2)</f>
        <v>0</v>
      </c>
      <c r="AG487" s="50">
        <f>ROUND(IF(AQ487="2",BI487,0),2)</f>
        <v>0</v>
      </c>
      <c r="AH487" s="50">
        <f>ROUND(IF(AQ487="0",BJ487,0),2)</f>
        <v>0</v>
      </c>
      <c r="AI487" s="32" t="s">
        <v>4</v>
      </c>
      <c r="AJ487" s="50">
        <f>IF(AN487=0,J487,0)</f>
        <v>0</v>
      </c>
      <c r="AK487" s="50">
        <f>IF(AN487=12,J487,0)</f>
        <v>0</v>
      </c>
      <c r="AL487" s="50">
        <f>IF(AN487=21,J487,0)</f>
        <v>0</v>
      </c>
      <c r="AN487" s="50">
        <v>21</v>
      </c>
      <c r="AO487" s="50">
        <f>G487*0.809615026</f>
        <v>0</v>
      </c>
      <c r="AP487" s="50">
        <f>G487*(1-0.809615026)</f>
        <v>0</v>
      </c>
      <c r="AQ487" s="52" t="s">
        <v>158</v>
      </c>
      <c r="AV487" s="50">
        <f>ROUND(AW487+AX487,2)</f>
        <v>0</v>
      </c>
      <c r="AW487" s="50">
        <f>ROUND(F487*AO487,2)</f>
        <v>0</v>
      </c>
      <c r="AX487" s="50">
        <f>ROUND(F487*AP487,2)</f>
        <v>0</v>
      </c>
      <c r="AY487" s="52" t="s">
        <v>748</v>
      </c>
      <c r="AZ487" s="52" t="s">
        <v>749</v>
      </c>
      <c r="BA487" s="32" t="s">
        <v>119</v>
      </c>
      <c r="BC487" s="50">
        <f>AW487+AX487</f>
        <v>0</v>
      </c>
      <c r="BD487" s="50">
        <f>G487/(100-BE487)*100</f>
        <v>0</v>
      </c>
      <c r="BE487" s="50">
        <v>0</v>
      </c>
      <c r="BF487" s="50">
        <f>487</f>
        <v>487</v>
      </c>
      <c r="BH487" s="50">
        <f>F487*AO487</f>
        <v>0</v>
      </c>
      <c r="BI487" s="50">
        <f>F487*AP487</f>
        <v>0</v>
      </c>
      <c r="BJ487" s="50">
        <f>F487*G487</f>
        <v>0</v>
      </c>
      <c r="BK487" s="50"/>
      <c r="BL487" s="50">
        <v>721</v>
      </c>
      <c r="BW487" s="50">
        <v>21</v>
      </c>
      <c r="BX487" s="3" t="s">
        <v>774</v>
      </c>
    </row>
    <row r="488" spans="1:76" ht="13.5" customHeight="1" x14ac:dyDescent="0.3">
      <c r="A488" s="53"/>
      <c r="B488" s="57" t="s">
        <v>198</v>
      </c>
      <c r="C488" s="150" t="s">
        <v>775</v>
      </c>
      <c r="D488" s="151"/>
      <c r="E488" s="151"/>
      <c r="F488" s="151"/>
      <c r="G488" s="151"/>
      <c r="H488" s="151"/>
      <c r="I488" s="151"/>
      <c r="J488" s="151"/>
      <c r="K488" s="152"/>
    </row>
    <row r="489" spans="1:76" ht="14.4" x14ac:dyDescent="0.3">
      <c r="A489" s="53"/>
      <c r="C489" s="54" t="s">
        <v>132</v>
      </c>
      <c r="D489" s="54" t="s">
        <v>4</v>
      </c>
      <c r="F489" s="55">
        <v>2</v>
      </c>
      <c r="K489" s="56"/>
    </row>
    <row r="490" spans="1:76" ht="14.4" x14ac:dyDescent="0.3">
      <c r="A490" s="1" t="s">
        <v>776</v>
      </c>
      <c r="B490" s="2" t="s">
        <v>777</v>
      </c>
      <c r="C490" s="75" t="s">
        <v>778</v>
      </c>
      <c r="D490" s="70"/>
      <c r="E490" s="2" t="s">
        <v>233</v>
      </c>
      <c r="F490" s="50">
        <v>14</v>
      </c>
      <c r="G490" s="50">
        <v>0</v>
      </c>
      <c r="H490" s="50">
        <f>ROUND(F490*AO490,2)</f>
        <v>0</v>
      </c>
      <c r="I490" s="50">
        <f>ROUND(F490*AP490,2)</f>
        <v>0</v>
      </c>
      <c r="J490" s="50">
        <f>ROUND(F490*G490,2)</f>
        <v>0</v>
      </c>
      <c r="K490" s="51" t="s">
        <v>116</v>
      </c>
      <c r="Z490" s="50">
        <f>ROUND(IF(AQ490="5",BJ490,0),2)</f>
        <v>0</v>
      </c>
      <c r="AB490" s="50">
        <f>ROUND(IF(AQ490="1",BH490,0),2)</f>
        <v>0</v>
      </c>
      <c r="AC490" s="50">
        <f>ROUND(IF(AQ490="1",BI490,0),2)</f>
        <v>0</v>
      </c>
      <c r="AD490" s="50">
        <f>ROUND(IF(AQ490="7",BH490,0),2)</f>
        <v>0</v>
      </c>
      <c r="AE490" s="50">
        <f>ROUND(IF(AQ490="7",BI490,0),2)</f>
        <v>0</v>
      </c>
      <c r="AF490" s="50">
        <f>ROUND(IF(AQ490="2",BH490,0),2)</f>
        <v>0</v>
      </c>
      <c r="AG490" s="50">
        <f>ROUND(IF(AQ490="2",BI490,0),2)</f>
        <v>0</v>
      </c>
      <c r="AH490" s="50">
        <f>ROUND(IF(AQ490="0",BJ490,0),2)</f>
        <v>0</v>
      </c>
      <c r="AI490" s="32" t="s">
        <v>4</v>
      </c>
      <c r="AJ490" s="50">
        <f>IF(AN490=0,J490,0)</f>
        <v>0</v>
      </c>
      <c r="AK490" s="50">
        <f>IF(AN490=12,J490,0)</f>
        <v>0</v>
      </c>
      <c r="AL490" s="50">
        <f>IF(AN490=21,J490,0)</f>
        <v>0</v>
      </c>
      <c r="AN490" s="50">
        <v>21</v>
      </c>
      <c r="AO490" s="50">
        <f>G490*0.288317757</f>
        <v>0</v>
      </c>
      <c r="AP490" s="50">
        <f>G490*(1-0.288317757)</f>
        <v>0</v>
      </c>
      <c r="AQ490" s="52" t="s">
        <v>158</v>
      </c>
      <c r="AV490" s="50">
        <f>ROUND(AW490+AX490,2)</f>
        <v>0</v>
      </c>
      <c r="AW490" s="50">
        <f>ROUND(F490*AO490,2)</f>
        <v>0</v>
      </c>
      <c r="AX490" s="50">
        <f>ROUND(F490*AP490,2)</f>
        <v>0</v>
      </c>
      <c r="AY490" s="52" t="s">
        <v>748</v>
      </c>
      <c r="AZ490" s="52" t="s">
        <v>749</v>
      </c>
      <c r="BA490" s="32" t="s">
        <v>119</v>
      </c>
      <c r="BC490" s="50">
        <f>AW490+AX490</f>
        <v>0</v>
      </c>
      <c r="BD490" s="50">
        <f>G490/(100-BE490)*100</f>
        <v>0</v>
      </c>
      <c r="BE490" s="50">
        <v>0</v>
      </c>
      <c r="BF490" s="50">
        <f>490</f>
        <v>490</v>
      </c>
      <c r="BH490" s="50">
        <f>F490*AO490</f>
        <v>0</v>
      </c>
      <c r="BI490" s="50">
        <f>F490*AP490</f>
        <v>0</v>
      </c>
      <c r="BJ490" s="50">
        <f>F490*G490</f>
        <v>0</v>
      </c>
      <c r="BK490" s="50"/>
      <c r="BL490" s="50">
        <v>721</v>
      </c>
      <c r="BW490" s="50">
        <v>21</v>
      </c>
      <c r="BX490" s="3" t="s">
        <v>778</v>
      </c>
    </row>
    <row r="491" spans="1:76" ht="14.4" x14ac:dyDescent="0.3">
      <c r="A491" s="53"/>
      <c r="C491" s="54" t="s">
        <v>205</v>
      </c>
      <c r="D491" s="54" t="s">
        <v>4</v>
      </c>
      <c r="F491" s="55">
        <v>14</v>
      </c>
      <c r="K491" s="56"/>
    </row>
    <row r="492" spans="1:76" ht="14.4" x14ac:dyDescent="0.3">
      <c r="A492" s="1" t="s">
        <v>779</v>
      </c>
      <c r="B492" s="2" t="s">
        <v>780</v>
      </c>
      <c r="C492" s="75" t="s">
        <v>781</v>
      </c>
      <c r="D492" s="70"/>
      <c r="E492" s="2" t="s">
        <v>233</v>
      </c>
      <c r="F492" s="50">
        <v>4.16</v>
      </c>
      <c r="G492" s="50">
        <v>0</v>
      </c>
      <c r="H492" s="50">
        <f>ROUND(F492*AO492,2)</f>
        <v>0</v>
      </c>
      <c r="I492" s="50">
        <f>ROUND(F492*AP492,2)</f>
        <v>0</v>
      </c>
      <c r="J492" s="50">
        <f>ROUND(F492*G492,2)</f>
        <v>0</v>
      </c>
      <c r="K492" s="51" t="s">
        <v>116</v>
      </c>
      <c r="Z492" s="50">
        <f>ROUND(IF(AQ492="5",BJ492,0),2)</f>
        <v>0</v>
      </c>
      <c r="AB492" s="50">
        <f>ROUND(IF(AQ492="1",BH492,0),2)</f>
        <v>0</v>
      </c>
      <c r="AC492" s="50">
        <f>ROUND(IF(AQ492="1",BI492,0),2)</f>
        <v>0</v>
      </c>
      <c r="AD492" s="50">
        <f>ROUND(IF(AQ492="7",BH492,0),2)</f>
        <v>0</v>
      </c>
      <c r="AE492" s="50">
        <f>ROUND(IF(AQ492="7",BI492,0),2)</f>
        <v>0</v>
      </c>
      <c r="AF492" s="50">
        <f>ROUND(IF(AQ492="2",BH492,0),2)</f>
        <v>0</v>
      </c>
      <c r="AG492" s="50">
        <f>ROUND(IF(AQ492="2",BI492,0),2)</f>
        <v>0</v>
      </c>
      <c r="AH492" s="50">
        <f>ROUND(IF(AQ492="0",BJ492,0),2)</f>
        <v>0</v>
      </c>
      <c r="AI492" s="32" t="s">
        <v>4</v>
      </c>
      <c r="AJ492" s="50">
        <f>IF(AN492=0,J492,0)</f>
        <v>0</v>
      </c>
      <c r="AK492" s="50">
        <f>IF(AN492=12,J492,0)</f>
        <v>0</v>
      </c>
      <c r="AL492" s="50">
        <f>IF(AN492=21,J492,0)</f>
        <v>0</v>
      </c>
      <c r="AN492" s="50">
        <v>21</v>
      </c>
      <c r="AO492" s="50">
        <f>G492*0.304210073</f>
        <v>0</v>
      </c>
      <c r="AP492" s="50">
        <f>G492*(1-0.304210073)</f>
        <v>0</v>
      </c>
      <c r="AQ492" s="52" t="s">
        <v>158</v>
      </c>
      <c r="AV492" s="50">
        <f>ROUND(AW492+AX492,2)</f>
        <v>0</v>
      </c>
      <c r="AW492" s="50">
        <f>ROUND(F492*AO492,2)</f>
        <v>0</v>
      </c>
      <c r="AX492" s="50">
        <f>ROUND(F492*AP492,2)</f>
        <v>0</v>
      </c>
      <c r="AY492" s="52" t="s">
        <v>748</v>
      </c>
      <c r="AZ492" s="52" t="s">
        <v>749</v>
      </c>
      <c r="BA492" s="32" t="s">
        <v>119</v>
      </c>
      <c r="BC492" s="50">
        <f>AW492+AX492</f>
        <v>0</v>
      </c>
      <c r="BD492" s="50">
        <f>G492/(100-BE492)*100</f>
        <v>0</v>
      </c>
      <c r="BE492" s="50">
        <v>0</v>
      </c>
      <c r="BF492" s="50">
        <f>492</f>
        <v>492</v>
      </c>
      <c r="BH492" s="50">
        <f>F492*AO492</f>
        <v>0</v>
      </c>
      <c r="BI492" s="50">
        <f>F492*AP492</f>
        <v>0</v>
      </c>
      <c r="BJ492" s="50">
        <f>F492*G492</f>
        <v>0</v>
      </c>
      <c r="BK492" s="50"/>
      <c r="BL492" s="50">
        <v>721</v>
      </c>
      <c r="BW492" s="50">
        <v>21</v>
      </c>
      <c r="BX492" s="3" t="s">
        <v>781</v>
      </c>
    </row>
    <row r="493" spans="1:76" ht="14.4" x14ac:dyDescent="0.3">
      <c r="A493" s="53"/>
      <c r="C493" s="54" t="s">
        <v>782</v>
      </c>
      <c r="D493" s="54" t="s">
        <v>4</v>
      </c>
      <c r="F493" s="55">
        <v>4.16</v>
      </c>
      <c r="K493" s="56"/>
    </row>
    <row r="494" spans="1:76" ht="14.4" x14ac:dyDescent="0.3">
      <c r="A494" s="1" t="s">
        <v>783</v>
      </c>
      <c r="B494" s="2" t="s">
        <v>784</v>
      </c>
      <c r="C494" s="75" t="s">
        <v>785</v>
      </c>
      <c r="D494" s="70"/>
      <c r="E494" s="2" t="s">
        <v>233</v>
      </c>
      <c r="F494" s="50">
        <v>2</v>
      </c>
      <c r="G494" s="50">
        <v>0</v>
      </c>
      <c r="H494" s="50">
        <f>ROUND(F494*AO494,2)</f>
        <v>0</v>
      </c>
      <c r="I494" s="50">
        <f>ROUND(F494*AP494,2)</f>
        <v>0</v>
      </c>
      <c r="J494" s="50">
        <f>ROUND(F494*G494,2)</f>
        <v>0</v>
      </c>
      <c r="K494" s="51" t="s">
        <v>116</v>
      </c>
      <c r="Z494" s="50">
        <f>ROUND(IF(AQ494="5",BJ494,0),2)</f>
        <v>0</v>
      </c>
      <c r="AB494" s="50">
        <f>ROUND(IF(AQ494="1",BH494,0),2)</f>
        <v>0</v>
      </c>
      <c r="AC494" s="50">
        <f>ROUND(IF(AQ494="1",BI494,0),2)</f>
        <v>0</v>
      </c>
      <c r="AD494" s="50">
        <f>ROUND(IF(AQ494="7",BH494,0),2)</f>
        <v>0</v>
      </c>
      <c r="AE494" s="50">
        <f>ROUND(IF(AQ494="7",BI494,0),2)</f>
        <v>0</v>
      </c>
      <c r="AF494" s="50">
        <f>ROUND(IF(AQ494="2",BH494,0),2)</f>
        <v>0</v>
      </c>
      <c r="AG494" s="50">
        <f>ROUND(IF(AQ494="2",BI494,0),2)</f>
        <v>0</v>
      </c>
      <c r="AH494" s="50">
        <f>ROUND(IF(AQ494="0",BJ494,0),2)</f>
        <v>0</v>
      </c>
      <c r="AI494" s="32" t="s">
        <v>4</v>
      </c>
      <c r="AJ494" s="50">
        <f>IF(AN494=0,J494,0)</f>
        <v>0</v>
      </c>
      <c r="AK494" s="50">
        <f>IF(AN494=12,J494,0)</f>
        <v>0</v>
      </c>
      <c r="AL494" s="50">
        <f>IF(AN494=21,J494,0)</f>
        <v>0</v>
      </c>
      <c r="AN494" s="50">
        <v>21</v>
      </c>
      <c r="AO494" s="50">
        <f>G494*0.262895257</f>
        <v>0</v>
      </c>
      <c r="AP494" s="50">
        <f>G494*(1-0.262895257)</f>
        <v>0</v>
      </c>
      <c r="AQ494" s="52" t="s">
        <v>158</v>
      </c>
      <c r="AV494" s="50">
        <f>ROUND(AW494+AX494,2)</f>
        <v>0</v>
      </c>
      <c r="AW494" s="50">
        <f>ROUND(F494*AO494,2)</f>
        <v>0</v>
      </c>
      <c r="AX494" s="50">
        <f>ROUND(F494*AP494,2)</f>
        <v>0</v>
      </c>
      <c r="AY494" s="52" t="s">
        <v>748</v>
      </c>
      <c r="AZ494" s="52" t="s">
        <v>749</v>
      </c>
      <c r="BA494" s="32" t="s">
        <v>119</v>
      </c>
      <c r="BC494" s="50">
        <f>AW494+AX494</f>
        <v>0</v>
      </c>
      <c r="BD494" s="50">
        <f>G494/(100-BE494)*100</f>
        <v>0</v>
      </c>
      <c r="BE494" s="50">
        <v>0</v>
      </c>
      <c r="BF494" s="50">
        <f>494</f>
        <v>494</v>
      </c>
      <c r="BH494" s="50">
        <f>F494*AO494</f>
        <v>0</v>
      </c>
      <c r="BI494" s="50">
        <f>F494*AP494</f>
        <v>0</v>
      </c>
      <c r="BJ494" s="50">
        <f>F494*G494</f>
        <v>0</v>
      </c>
      <c r="BK494" s="50"/>
      <c r="BL494" s="50">
        <v>721</v>
      </c>
      <c r="BW494" s="50">
        <v>21</v>
      </c>
      <c r="BX494" s="3" t="s">
        <v>785</v>
      </c>
    </row>
    <row r="495" spans="1:76" ht="14.4" x14ac:dyDescent="0.3">
      <c r="A495" s="53"/>
      <c r="C495" s="54" t="s">
        <v>132</v>
      </c>
      <c r="D495" s="54" t="s">
        <v>4</v>
      </c>
      <c r="F495" s="55">
        <v>2</v>
      </c>
      <c r="K495" s="56"/>
    </row>
    <row r="496" spans="1:76" ht="14.4" x14ac:dyDescent="0.3">
      <c r="A496" s="1" t="s">
        <v>786</v>
      </c>
      <c r="B496" s="2" t="s">
        <v>787</v>
      </c>
      <c r="C496" s="75" t="s">
        <v>788</v>
      </c>
      <c r="D496" s="70"/>
      <c r="E496" s="2" t="s">
        <v>278</v>
      </c>
      <c r="F496" s="50">
        <v>8</v>
      </c>
      <c r="G496" s="50">
        <v>0</v>
      </c>
      <c r="H496" s="50">
        <f>ROUND(F496*AO496,2)</f>
        <v>0</v>
      </c>
      <c r="I496" s="50">
        <f>ROUND(F496*AP496,2)</f>
        <v>0</v>
      </c>
      <c r="J496" s="50">
        <f>ROUND(F496*G496,2)</f>
        <v>0</v>
      </c>
      <c r="K496" s="51" t="s">
        <v>116</v>
      </c>
      <c r="Z496" s="50">
        <f>ROUND(IF(AQ496="5",BJ496,0),2)</f>
        <v>0</v>
      </c>
      <c r="AB496" s="50">
        <f>ROUND(IF(AQ496="1",BH496,0),2)</f>
        <v>0</v>
      </c>
      <c r="AC496" s="50">
        <f>ROUND(IF(AQ496="1",BI496,0),2)</f>
        <v>0</v>
      </c>
      <c r="AD496" s="50">
        <f>ROUND(IF(AQ496="7",BH496,0),2)</f>
        <v>0</v>
      </c>
      <c r="AE496" s="50">
        <f>ROUND(IF(AQ496="7",BI496,0),2)</f>
        <v>0</v>
      </c>
      <c r="AF496" s="50">
        <f>ROUND(IF(AQ496="2",BH496,0),2)</f>
        <v>0</v>
      </c>
      <c r="AG496" s="50">
        <f>ROUND(IF(AQ496="2",BI496,0),2)</f>
        <v>0</v>
      </c>
      <c r="AH496" s="50">
        <f>ROUND(IF(AQ496="0",BJ496,0),2)</f>
        <v>0</v>
      </c>
      <c r="AI496" s="32" t="s">
        <v>4</v>
      </c>
      <c r="AJ496" s="50">
        <f>IF(AN496=0,J496,0)</f>
        <v>0</v>
      </c>
      <c r="AK496" s="50">
        <f>IF(AN496=12,J496,0)</f>
        <v>0</v>
      </c>
      <c r="AL496" s="50">
        <f>IF(AN496=21,J496,0)</f>
        <v>0</v>
      </c>
      <c r="AN496" s="50">
        <v>21</v>
      </c>
      <c r="AO496" s="50">
        <f>G496*0</f>
        <v>0</v>
      </c>
      <c r="AP496" s="50">
        <f>G496*(1-0)</f>
        <v>0</v>
      </c>
      <c r="AQ496" s="52" t="s">
        <v>158</v>
      </c>
      <c r="AV496" s="50">
        <f>ROUND(AW496+AX496,2)</f>
        <v>0</v>
      </c>
      <c r="AW496" s="50">
        <f>ROUND(F496*AO496,2)</f>
        <v>0</v>
      </c>
      <c r="AX496" s="50">
        <f>ROUND(F496*AP496,2)</f>
        <v>0</v>
      </c>
      <c r="AY496" s="52" t="s">
        <v>748</v>
      </c>
      <c r="AZ496" s="52" t="s">
        <v>749</v>
      </c>
      <c r="BA496" s="32" t="s">
        <v>119</v>
      </c>
      <c r="BC496" s="50">
        <f>AW496+AX496</f>
        <v>0</v>
      </c>
      <c r="BD496" s="50">
        <f>G496/(100-BE496)*100</f>
        <v>0</v>
      </c>
      <c r="BE496" s="50">
        <v>0</v>
      </c>
      <c r="BF496" s="50">
        <f>496</f>
        <v>496</v>
      </c>
      <c r="BH496" s="50">
        <f>F496*AO496</f>
        <v>0</v>
      </c>
      <c r="BI496" s="50">
        <f>F496*AP496</f>
        <v>0</v>
      </c>
      <c r="BJ496" s="50">
        <f>F496*G496</f>
        <v>0</v>
      </c>
      <c r="BK496" s="50"/>
      <c r="BL496" s="50">
        <v>721</v>
      </c>
      <c r="BW496" s="50">
        <v>21</v>
      </c>
      <c r="BX496" s="3" t="s">
        <v>788</v>
      </c>
    </row>
    <row r="497" spans="1:76" ht="14.4" x14ac:dyDescent="0.3">
      <c r="A497" s="53"/>
      <c r="C497" s="54" t="s">
        <v>145</v>
      </c>
      <c r="D497" s="54" t="s">
        <v>4</v>
      </c>
      <c r="F497" s="55">
        <v>8</v>
      </c>
      <c r="K497" s="56"/>
    </row>
    <row r="498" spans="1:76" ht="14.4" x14ac:dyDescent="0.3">
      <c r="A498" s="1" t="s">
        <v>789</v>
      </c>
      <c r="B498" s="2" t="s">
        <v>790</v>
      </c>
      <c r="C498" s="75" t="s">
        <v>791</v>
      </c>
      <c r="D498" s="70"/>
      <c r="E498" s="2" t="s">
        <v>278</v>
      </c>
      <c r="F498" s="50">
        <v>1</v>
      </c>
      <c r="G498" s="50">
        <v>0</v>
      </c>
      <c r="H498" s="50">
        <f>ROUND(F498*AO498,2)</f>
        <v>0</v>
      </c>
      <c r="I498" s="50">
        <f>ROUND(F498*AP498,2)</f>
        <v>0</v>
      </c>
      <c r="J498" s="50">
        <f>ROUND(F498*G498,2)</f>
        <v>0</v>
      </c>
      <c r="K498" s="51" t="s">
        <v>116</v>
      </c>
      <c r="Z498" s="50">
        <f>ROUND(IF(AQ498="5",BJ498,0),2)</f>
        <v>0</v>
      </c>
      <c r="AB498" s="50">
        <f>ROUND(IF(AQ498="1",BH498,0),2)</f>
        <v>0</v>
      </c>
      <c r="AC498" s="50">
        <f>ROUND(IF(AQ498="1",BI498,0),2)</f>
        <v>0</v>
      </c>
      <c r="AD498" s="50">
        <f>ROUND(IF(AQ498="7",BH498,0),2)</f>
        <v>0</v>
      </c>
      <c r="AE498" s="50">
        <f>ROUND(IF(AQ498="7",BI498,0),2)</f>
        <v>0</v>
      </c>
      <c r="AF498" s="50">
        <f>ROUND(IF(AQ498="2",BH498,0),2)</f>
        <v>0</v>
      </c>
      <c r="AG498" s="50">
        <f>ROUND(IF(AQ498="2",BI498,0),2)</f>
        <v>0</v>
      </c>
      <c r="AH498" s="50">
        <f>ROUND(IF(AQ498="0",BJ498,0),2)</f>
        <v>0</v>
      </c>
      <c r="AI498" s="32" t="s">
        <v>4</v>
      </c>
      <c r="AJ498" s="50">
        <f>IF(AN498=0,J498,0)</f>
        <v>0</v>
      </c>
      <c r="AK498" s="50">
        <f>IF(AN498=12,J498,0)</f>
        <v>0</v>
      </c>
      <c r="AL498" s="50">
        <f>IF(AN498=21,J498,0)</f>
        <v>0</v>
      </c>
      <c r="AN498" s="50">
        <v>21</v>
      </c>
      <c r="AO498" s="50">
        <f>G498*0</f>
        <v>0</v>
      </c>
      <c r="AP498" s="50">
        <f>G498*(1-0)</f>
        <v>0</v>
      </c>
      <c r="AQ498" s="52" t="s">
        <v>158</v>
      </c>
      <c r="AV498" s="50">
        <f>ROUND(AW498+AX498,2)</f>
        <v>0</v>
      </c>
      <c r="AW498" s="50">
        <f>ROUND(F498*AO498,2)</f>
        <v>0</v>
      </c>
      <c r="AX498" s="50">
        <f>ROUND(F498*AP498,2)</f>
        <v>0</v>
      </c>
      <c r="AY498" s="52" t="s">
        <v>748</v>
      </c>
      <c r="AZ498" s="52" t="s">
        <v>749</v>
      </c>
      <c r="BA498" s="32" t="s">
        <v>119</v>
      </c>
      <c r="BC498" s="50">
        <f>AW498+AX498</f>
        <v>0</v>
      </c>
      <c r="BD498" s="50">
        <f>G498/(100-BE498)*100</f>
        <v>0</v>
      </c>
      <c r="BE498" s="50">
        <v>0</v>
      </c>
      <c r="BF498" s="50">
        <f>498</f>
        <v>498</v>
      </c>
      <c r="BH498" s="50">
        <f>F498*AO498</f>
        <v>0</v>
      </c>
      <c r="BI498" s="50">
        <f>F498*AP498</f>
        <v>0</v>
      </c>
      <c r="BJ498" s="50">
        <f>F498*G498</f>
        <v>0</v>
      </c>
      <c r="BK498" s="50"/>
      <c r="BL498" s="50">
        <v>721</v>
      </c>
      <c r="BW498" s="50">
        <v>21</v>
      </c>
      <c r="BX498" s="3" t="s">
        <v>791</v>
      </c>
    </row>
    <row r="499" spans="1:76" ht="14.4" x14ac:dyDescent="0.3">
      <c r="A499" s="53"/>
      <c r="C499" s="54" t="s">
        <v>112</v>
      </c>
      <c r="D499" s="54" t="s">
        <v>4</v>
      </c>
      <c r="F499" s="55">
        <v>1</v>
      </c>
      <c r="K499" s="56"/>
    </row>
    <row r="500" spans="1:76" ht="14.4" x14ac:dyDescent="0.3">
      <c r="A500" s="1" t="s">
        <v>792</v>
      </c>
      <c r="B500" s="2" t="s">
        <v>793</v>
      </c>
      <c r="C500" s="75" t="s">
        <v>794</v>
      </c>
      <c r="D500" s="70"/>
      <c r="E500" s="2" t="s">
        <v>278</v>
      </c>
      <c r="F500" s="50">
        <v>4</v>
      </c>
      <c r="G500" s="50">
        <v>0</v>
      </c>
      <c r="H500" s="50">
        <f>ROUND(F500*AO500,2)</f>
        <v>0</v>
      </c>
      <c r="I500" s="50">
        <f>ROUND(F500*AP500,2)</f>
        <v>0</v>
      </c>
      <c r="J500" s="50">
        <f>ROUND(F500*G500,2)</f>
        <v>0</v>
      </c>
      <c r="K500" s="51" t="s">
        <v>116</v>
      </c>
      <c r="Z500" s="50">
        <f>ROUND(IF(AQ500="5",BJ500,0),2)</f>
        <v>0</v>
      </c>
      <c r="AB500" s="50">
        <f>ROUND(IF(AQ500="1",BH500,0),2)</f>
        <v>0</v>
      </c>
      <c r="AC500" s="50">
        <f>ROUND(IF(AQ500="1",BI500,0),2)</f>
        <v>0</v>
      </c>
      <c r="AD500" s="50">
        <f>ROUND(IF(AQ500="7",BH500,0),2)</f>
        <v>0</v>
      </c>
      <c r="AE500" s="50">
        <f>ROUND(IF(AQ500="7",BI500,0),2)</f>
        <v>0</v>
      </c>
      <c r="AF500" s="50">
        <f>ROUND(IF(AQ500="2",BH500,0),2)</f>
        <v>0</v>
      </c>
      <c r="AG500" s="50">
        <f>ROUND(IF(AQ500="2",BI500,0),2)</f>
        <v>0</v>
      </c>
      <c r="AH500" s="50">
        <f>ROUND(IF(AQ500="0",BJ500,0),2)</f>
        <v>0</v>
      </c>
      <c r="AI500" s="32" t="s">
        <v>4</v>
      </c>
      <c r="AJ500" s="50">
        <f>IF(AN500=0,J500,0)</f>
        <v>0</v>
      </c>
      <c r="AK500" s="50">
        <f>IF(AN500=12,J500,0)</f>
        <v>0</v>
      </c>
      <c r="AL500" s="50">
        <f>IF(AN500=21,J500,0)</f>
        <v>0</v>
      </c>
      <c r="AN500" s="50">
        <v>21</v>
      </c>
      <c r="AO500" s="50">
        <f>G500*0</f>
        <v>0</v>
      </c>
      <c r="AP500" s="50">
        <f>G500*(1-0)</f>
        <v>0</v>
      </c>
      <c r="AQ500" s="52" t="s">
        <v>158</v>
      </c>
      <c r="AV500" s="50">
        <f>ROUND(AW500+AX500,2)</f>
        <v>0</v>
      </c>
      <c r="AW500" s="50">
        <f>ROUND(F500*AO500,2)</f>
        <v>0</v>
      </c>
      <c r="AX500" s="50">
        <f>ROUND(F500*AP500,2)</f>
        <v>0</v>
      </c>
      <c r="AY500" s="52" t="s">
        <v>748</v>
      </c>
      <c r="AZ500" s="52" t="s">
        <v>749</v>
      </c>
      <c r="BA500" s="32" t="s">
        <v>119</v>
      </c>
      <c r="BC500" s="50">
        <f>AW500+AX500</f>
        <v>0</v>
      </c>
      <c r="BD500" s="50">
        <f>G500/(100-BE500)*100</f>
        <v>0</v>
      </c>
      <c r="BE500" s="50">
        <v>0</v>
      </c>
      <c r="BF500" s="50">
        <f>500</f>
        <v>500</v>
      </c>
      <c r="BH500" s="50">
        <f>F500*AO500</f>
        <v>0</v>
      </c>
      <c r="BI500" s="50">
        <f>F500*AP500</f>
        <v>0</v>
      </c>
      <c r="BJ500" s="50">
        <f>F500*G500</f>
        <v>0</v>
      </c>
      <c r="BK500" s="50"/>
      <c r="BL500" s="50">
        <v>721</v>
      </c>
      <c r="BW500" s="50">
        <v>21</v>
      </c>
      <c r="BX500" s="3" t="s">
        <v>794</v>
      </c>
    </row>
    <row r="501" spans="1:76" ht="14.4" x14ac:dyDescent="0.3">
      <c r="A501" s="53"/>
      <c r="C501" s="54" t="s">
        <v>140</v>
      </c>
      <c r="D501" s="54" t="s">
        <v>4</v>
      </c>
      <c r="F501" s="55">
        <v>4</v>
      </c>
      <c r="K501" s="56"/>
    </row>
    <row r="502" spans="1:76" ht="14.4" x14ac:dyDescent="0.3">
      <c r="A502" s="1" t="s">
        <v>795</v>
      </c>
      <c r="B502" s="2" t="s">
        <v>796</v>
      </c>
      <c r="C502" s="75" t="s">
        <v>797</v>
      </c>
      <c r="D502" s="70"/>
      <c r="E502" s="2" t="s">
        <v>233</v>
      </c>
      <c r="F502" s="50">
        <v>55.58</v>
      </c>
      <c r="G502" s="50">
        <v>0</v>
      </c>
      <c r="H502" s="50">
        <f>ROUND(F502*AO502,2)</f>
        <v>0</v>
      </c>
      <c r="I502" s="50">
        <f>ROUND(F502*AP502,2)</f>
        <v>0</v>
      </c>
      <c r="J502" s="50">
        <f>ROUND(F502*G502,2)</f>
        <v>0</v>
      </c>
      <c r="K502" s="51" t="s">
        <v>116</v>
      </c>
      <c r="Z502" s="50">
        <f>ROUND(IF(AQ502="5",BJ502,0),2)</f>
        <v>0</v>
      </c>
      <c r="AB502" s="50">
        <f>ROUND(IF(AQ502="1",BH502,0),2)</f>
        <v>0</v>
      </c>
      <c r="AC502" s="50">
        <f>ROUND(IF(AQ502="1",BI502,0),2)</f>
        <v>0</v>
      </c>
      <c r="AD502" s="50">
        <f>ROUND(IF(AQ502="7",BH502,0),2)</f>
        <v>0</v>
      </c>
      <c r="AE502" s="50">
        <f>ROUND(IF(AQ502="7",BI502,0),2)</f>
        <v>0</v>
      </c>
      <c r="AF502" s="50">
        <f>ROUND(IF(AQ502="2",BH502,0),2)</f>
        <v>0</v>
      </c>
      <c r="AG502" s="50">
        <f>ROUND(IF(AQ502="2",BI502,0),2)</f>
        <v>0</v>
      </c>
      <c r="AH502" s="50">
        <f>ROUND(IF(AQ502="0",BJ502,0),2)</f>
        <v>0</v>
      </c>
      <c r="AI502" s="32" t="s">
        <v>4</v>
      </c>
      <c r="AJ502" s="50">
        <f>IF(AN502=0,J502,0)</f>
        <v>0</v>
      </c>
      <c r="AK502" s="50">
        <f>IF(AN502=12,J502,0)</f>
        <v>0</v>
      </c>
      <c r="AL502" s="50">
        <f>IF(AN502=21,J502,0)</f>
        <v>0</v>
      </c>
      <c r="AN502" s="50">
        <v>21</v>
      </c>
      <c r="AO502" s="50">
        <f>G502*0.087127482</f>
        <v>0</v>
      </c>
      <c r="AP502" s="50">
        <f>G502*(1-0.087127482)</f>
        <v>0</v>
      </c>
      <c r="AQ502" s="52" t="s">
        <v>158</v>
      </c>
      <c r="AV502" s="50">
        <f>ROUND(AW502+AX502,2)</f>
        <v>0</v>
      </c>
      <c r="AW502" s="50">
        <f>ROUND(F502*AO502,2)</f>
        <v>0</v>
      </c>
      <c r="AX502" s="50">
        <f>ROUND(F502*AP502,2)</f>
        <v>0</v>
      </c>
      <c r="AY502" s="52" t="s">
        <v>748</v>
      </c>
      <c r="AZ502" s="52" t="s">
        <v>749</v>
      </c>
      <c r="BA502" s="32" t="s">
        <v>119</v>
      </c>
      <c r="BC502" s="50">
        <f>AW502+AX502</f>
        <v>0</v>
      </c>
      <c r="BD502" s="50">
        <f>G502/(100-BE502)*100</f>
        <v>0</v>
      </c>
      <c r="BE502" s="50">
        <v>0</v>
      </c>
      <c r="BF502" s="50">
        <f>502</f>
        <v>502</v>
      </c>
      <c r="BH502" s="50">
        <f>F502*AO502</f>
        <v>0</v>
      </c>
      <c r="BI502" s="50">
        <f>F502*AP502</f>
        <v>0</v>
      </c>
      <c r="BJ502" s="50">
        <f>F502*G502</f>
        <v>0</v>
      </c>
      <c r="BK502" s="50"/>
      <c r="BL502" s="50">
        <v>721</v>
      </c>
      <c r="BW502" s="50">
        <v>21</v>
      </c>
      <c r="BX502" s="3" t="s">
        <v>797</v>
      </c>
    </row>
    <row r="503" spans="1:76" ht="14.4" x14ac:dyDescent="0.3">
      <c r="A503" s="53"/>
      <c r="C503" s="54" t="s">
        <v>798</v>
      </c>
      <c r="D503" s="54" t="s">
        <v>4</v>
      </c>
      <c r="F503" s="55">
        <v>55.58</v>
      </c>
      <c r="K503" s="56"/>
    </row>
    <row r="504" spans="1:76" ht="14.4" x14ac:dyDescent="0.3">
      <c r="A504" s="1" t="s">
        <v>799</v>
      </c>
      <c r="B504" s="2" t="s">
        <v>800</v>
      </c>
      <c r="C504" s="75" t="s">
        <v>801</v>
      </c>
      <c r="D504" s="70"/>
      <c r="E504" s="2" t="s">
        <v>278</v>
      </c>
      <c r="F504" s="50">
        <v>2</v>
      </c>
      <c r="G504" s="50">
        <v>0</v>
      </c>
      <c r="H504" s="50">
        <f>ROUND(F504*AO504,2)</f>
        <v>0</v>
      </c>
      <c r="I504" s="50">
        <f>ROUND(F504*AP504,2)</f>
        <v>0</v>
      </c>
      <c r="J504" s="50">
        <f>ROUND(F504*G504,2)</f>
        <v>0</v>
      </c>
      <c r="K504" s="51" t="s">
        <v>116</v>
      </c>
      <c r="Z504" s="50">
        <f>ROUND(IF(AQ504="5",BJ504,0),2)</f>
        <v>0</v>
      </c>
      <c r="AB504" s="50">
        <f>ROUND(IF(AQ504="1",BH504,0),2)</f>
        <v>0</v>
      </c>
      <c r="AC504" s="50">
        <f>ROUND(IF(AQ504="1",BI504,0),2)</f>
        <v>0</v>
      </c>
      <c r="AD504" s="50">
        <f>ROUND(IF(AQ504="7",BH504,0),2)</f>
        <v>0</v>
      </c>
      <c r="AE504" s="50">
        <f>ROUND(IF(AQ504="7",BI504,0),2)</f>
        <v>0</v>
      </c>
      <c r="AF504" s="50">
        <f>ROUND(IF(AQ504="2",BH504,0),2)</f>
        <v>0</v>
      </c>
      <c r="AG504" s="50">
        <f>ROUND(IF(AQ504="2",BI504,0),2)</f>
        <v>0</v>
      </c>
      <c r="AH504" s="50">
        <f>ROUND(IF(AQ504="0",BJ504,0),2)</f>
        <v>0</v>
      </c>
      <c r="AI504" s="32" t="s">
        <v>4</v>
      </c>
      <c r="AJ504" s="50">
        <f>IF(AN504=0,J504,0)</f>
        <v>0</v>
      </c>
      <c r="AK504" s="50">
        <f>IF(AN504=12,J504,0)</f>
        <v>0</v>
      </c>
      <c r="AL504" s="50">
        <f>IF(AN504=21,J504,0)</f>
        <v>0</v>
      </c>
      <c r="AN504" s="50">
        <v>21</v>
      </c>
      <c r="AO504" s="50">
        <f>G504*0.816577498</f>
        <v>0</v>
      </c>
      <c r="AP504" s="50">
        <f>G504*(1-0.816577498)</f>
        <v>0</v>
      </c>
      <c r="AQ504" s="52" t="s">
        <v>158</v>
      </c>
      <c r="AV504" s="50">
        <f>ROUND(AW504+AX504,2)</f>
        <v>0</v>
      </c>
      <c r="AW504" s="50">
        <f>ROUND(F504*AO504,2)</f>
        <v>0</v>
      </c>
      <c r="AX504" s="50">
        <f>ROUND(F504*AP504,2)</f>
        <v>0</v>
      </c>
      <c r="AY504" s="52" t="s">
        <v>748</v>
      </c>
      <c r="AZ504" s="52" t="s">
        <v>749</v>
      </c>
      <c r="BA504" s="32" t="s">
        <v>119</v>
      </c>
      <c r="BC504" s="50">
        <f>AW504+AX504</f>
        <v>0</v>
      </c>
      <c r="BD504" s="50">
        <f>G504/(100-BE504)*100</f>
        <v>0</v>
      </c>
      <c r="BE504" s="50">
        <v>0</v>
      </c>
      <c r="BF504" s="50">
        <f>504</f>
        <v>504</v>
      </c>
      <c r="BH504" s="50">
        <f>F504*AO504</f>
        <v>0</v>
      </c>
      <c r="BI504" s="50">
        <f>F504*AP504</f>
        <v>0</v>
      </c>
      <c r="BJ504" s="50">
        <f>F504*G504</f>
        <v>0</v>
      </c>
      <c r="BK504" s="50"/>
      <c r="BL504" s="50">
        <v>721</v>
      </c>
      <c r="BW504" s="50">
        <v>21</v>
      </c>
      <c r="BX504" s="3" t="s">
        <v>801</v>
      </c>
    </row>
    <row r="505" spans="1:76" ht="14.4" x14ac:dyDescent="0.3">
      <c r="A505" s="53"/>
      <c r="C505" s="54" t="s">
        <v>132</v>
      </c>
      <c r="D505" s="54" t="s">
        <v>4</v>
      </c>
      <c r="F505" s="55">
        <v>2</v>
      </c>
      <c r="K505" s="56"/>
    </row>
    <row r="506" spans="1:76" ht="14.4" x14ac:dyDescent="0.3">
      <c r="A506" s="1" t="s">
        <v>802</v>
      </c>
      <c r="B506" s="2" t="s">
        <v>803</v>
      </c>
      <c r="C506" s="75" t="s">
        <v>804</v>
      </c>
      <c r="D506" s="70"/>
      <c r="E506" s="2" t="s">
        <v>173</v>
      </c>
      <c r="F506" s="50">
        <v>0.73172000000000004</v>
      </c>
      <c r="G506" s="50">
        <v>0</v>
      </c>
      <c r="H506" s="50">
        <f>ROUND(F506*AO506,2)</f>
        <v>0</v>
      </c>
      <c r="I506" s="50">
        <f>ROUND(F506*AP506,2)</f>
        <v>0</v>
      </c>
      <c r="J506" s="50">
        <f>ROUND(F506*G506,2)</f>
        <v>0</v>
      </c>
      <c r="K506" s="51" t="s">
        <v>116</v>
      </c>
      <c r="Z506" s="50">
        <f>ROUND(IF(AQ506="5",BJ506,0),2)</f>
        <v>0</v>
      </c>
      <c r="AB506" s="50">
        <f>ROUND(IF(AQ506="1",BH506,0),2)</f>
        <v>0</v>
      </c>
      <c r="AC506" s="50">
        <f>ROUND(IF(AQ506="1",BI506,0),2)</f>
        <v>0</v>
      </c>
      <c r="AD506" s="50">
        <f>ROUND(IF(AQ506="7",BH506,0),2)</f>
        <v>0</v>
      </c>
      <c r="AE506" s="50">
        <f>ROUND(IF(AQ506="7",BI506,0),2)</f>
        <v>0</v>
      </c>
      <c r="AF506" s="50">
        <f>ROUND(IF(AQ506="2",BH506,0),2)</f>
        <v>0</v>
      </c>
      <c r="AG506" s="50">
        <f>ROUND(IF(AQ506="2",BI506,0),2)</f>
        <v>0</v>
      </c>
      <c r="AH506" s="50">
        <f>ROUND(IF(AQ506="0",BJ506,0),2)</f>
        <v>0</v>
      </c>
      <c r="AI506" s="32" t="s">
        <v>4</v>
      </c>
      <c r="AJ506" s="50">
        <f>IF(AN506=0,J506,0)</f>
        <v>0</v>
      </c>
      <c r="AK506" s="50">
        <f>IF(AN506=12,J506,0)</f>
        <v>0</v>
      </c>
      <c r="AL506" s="50">
        <f>IF(AN506=21,J506,0)</f>
        <v>0</v>
      </c>
      <c r="AN506" s="50">
        <v>21</v>
      </c>
      <c r="AO506" s="50">
        <f>G506*0</f>
        <v>0</v>
      </c>
      <c r="AP506" s="50">
        <f>G506*(1-0)</f>
        <v>0</v>
      </c>
      <c r="AQ506" s="52" t="s">
        <v>147</v>
      </c>
      <c r="AV506" s="50">
        <f>ROUND(AW506+AX506,2)</f>
        <v>0</v>
      </c>
      <c r="AW506" s="50">
        <f>ROUND(F506*AO506,2)</f>
        <v>0</v>
      </c>
      <c r="AX506" s="50">
        <f>ROUND(F506*AP506,2)</f>
        <v>0</v>
      </c>
      <c r="AY506" s="52" t="s">
        <v>748</v>
      </c>
      <c r="AZ506" s="52" t="s">
        <v>749</v>
      </c>
      <c r="BA506" s="32" t="s">
        <v>119</v>
      </c>
      <c r="BC506" s="50">
        <f>AW506+AX506</f>
        <v>0</v>
      </c>
      <c r="BD506" s="50">
        <f>G506/(100-BE506)*100</f>
        <v>0</v>
      </c>
      <c r="BE506" s="50">
        <v>0</v>
      </c>
      <c r="BF506" s="50">
        <f>506</f>
        <v>506</v>
      </c>
      <c r="BH506" s="50">
        <f>F506*AO506</f>
        <v>0</v>
      </c>
      <c r="BI506" s="50">
        <f>F506*AP506</f>
        <v>0</v>
      </c>
      <c r="BJ506" s="50">
        <f>F506*G506</f>
        <v>0</v>
      </c>
      <c r="BK506" s="50"/>
      <c r="BL506" s="50">
        <v>721</v>
      </c>
      <c r="BW506" s="50">
        <v>21</v>
      </c>
      <c r="BX506" s="3" t="s">
        <v>804</v>
      </c>
    </row>
    <row r="507" spans="1:76" ht="14.4" x14ac:dyDescent="0.3">
      <c r="A507" s="46" t="s">
        <v>4</v>
      </c>
      <c r="B507" s="47" t="s">
        <v>805</v>
      </c>
      <c r="C507" s="148" t="s">
        <v>806</v>
      </c>
      <c r="D507" s="149"/>
      <c r="E507" s="48" t="s">
        <v>74</v>
      </c>
      <c r="F507" s="48" t="s">
        <v>74</v>
      </c>
      <c r="G507" s="48" t="s">
        <v>74</v>
      </c>
      <c r="H507" s="26">
        <f>SUM(H508:H551)</f>
        <v>0</v>
      </c>
      <c r="I507" s="26">
        <f>SUM(I508:I551)</f>
        <v>0</v>
      </c>
      <c r="J507" s="26">
        <f>SUM(J508:J551)</f>
        <v>0</v>
      </c>
      <c r="K507" s="49" t="s">
        <v>4</v>
      </c>
      <c r="AI507" s="32" t="s">
        <v>4</v>
      </c>
      <c r="AS507" s="26">
        <f>SUM(AJ508:AJ551)</f>
        <v>0</v>
      </c>
      <c r="AT507" s="26">
        <f>SUM(AK508:AK551)</f>
        <v>0</v>
      </c>
      <c r="AU507" s="26">
        <f>SUM(AL508:AL551)</f>
        <v>0</v>
      </c>
    </row>
    <row r="508" spans="1:76" ht="14.4" x14ac:dyDescent="0.3">
      <c r="A508" s="1" t="s">
        <v>807</v>
      </c>
      <c r="B508" s="2" t="s">
        <v>808</v>
      </c>
      <c r="C508" s="75" t="s">
        <v>809</v>
      </c>
      <c r="D508" s="70"/>
      <c r="E508" s="2" t="s">
        <v>233</v>
      </c>
      <c r="F508" s="50">
        <v>21</v>
      </c>
      <c r="G508" s="50">
        <v>0</v>
      </c>
      <c r="H508" s="50">
        <f>ROUND(F508*AO508,2)</f>
        <v>0</v>
      </c>
      <c r="I508" s="50">
        <f>ROUND(F508*AP508,2)</f>
        <v>0</v>
      </c>
      <c r="J508" s="50">
        <f>ROUND(F508*G508,2)</f>
        <v>0</v>
      </c>
      <c r="K508" s="51" t="s">
        <v>116</v>
      </c>
      <c r="Z508" s="50">
        <f>ROUND(IF(AQ508="5",BJ508,0),2)</f>
        <v>0</v>
      </c>
      <c r="AB508" s="50">
        <f>ROUND(IF(AQ508="1",BH508,0),2)</f>
        <v>0</v>
      </c>
      <c r="AC508" s="50">
        <f>ROUND(IF(AQ508="1",BI508,0),2)</f>
        <v>0</v>
      </c>
      <c r="AD508" s="50">
        <f>ROUND(IF(AQ508="7",BH508,0),2)</f>
        <v>0</v>
      </c>
      <c r="AE508" s="50">
        <f>ROUND(IF(AQ508="7",BI508,0),2)</f>
        <v>0</v>
      </c>
      <c r="AF508" s="50">
        <f>ROUND(IF(AQ508="2",BH508,0),2)</f>
        <v>0</v>
      </c>
      <c r="AG508" s="50">
        <f>ROUND(IF(AQ508="2",BI508,0),2)</f>
        <v>0</v>
      </c>
      <c r="AH508" s="50">
        <f>ROUND(IF(AQ508="0",BJ508,0),2)</f>
        <v>0</v>
      </c>
      <c r="AI508" s="32" t="s">
        <v>4</v>
      </c>
      <c r="AJ508" s="50">
        <f>IF(AN508=0,J508,0)</f>
        <v>0</v>
      </c>
      <c r="AK508" s="50">
        <f>IF(AN508=12,J508,0)</f>
        <v>0</v>
      </c>
      <c r="AL508" s="50">
        <f>IF(AN508=21,J508,0)</f>
        <v>0</v>
      </c>
      <c r="AN508" s="50">
        <v>21</v>
      </c>
      <c r="AO508" s="50">
        <f>G508*0.334193548</f>
        <v>0</v>
      </c>
      <c r="AP508" s="50">
        <f>G508*(1-0.334193548)</f>
        <v>0</v>
      </c>
      <c r="AQ508" s="52" t="s">
        <v>158</v>
      </c>
      <c r="AV508" s="50">
        <f>ROUND(AW508+AX508,2)</f>
        <v>0</v>
      </c>
      <c r="AW508" s="50">
        <f>ROUND(F508*AO508,2)</f>
        <v>0</v>
      </c>
      <c r="AX508" s="50">
        <f>ROUND(F508*AP508,2)</f>
        <v>0</v>
      </c>
      <c r="AY508" s="52" t="s">
        <v>810</v>
      </c>
      <c r="AZ508" s="52" t="s">
        <v>749</v>
      </c>
      <c r="BA508" s="32" t="s">
        <v>119</v>
      </c>
      <c r="BC508" s="50">
        <f>AW508+AX508</f>
        <v>0</v>
      </c>
      <c r="BD508" s="50">
        <f>G508/(100-BE508)*100</f>
        <v>0</v>
      </c>
      <c r="BE508" s="50">
        <v>0</v>
      </c>
      <c r="BF508" s="50">
        <f>508</f>
        <v>508</v>
      </c>
      <c r="BH508" s="50">
        <f>F508*AO508</f>
        <v>0</v>
      </c>
      <c r="BI508" s="50">
        <f>F508*AP508</f>
        <v>0</v>
      </c>
      <c r="BJ508" s="50">
        <f>F508*G508</f>
        <v>0</v>
      </c>
      <c r="BK508" s="50"/>
      <c r="BL508" s="50">
        <v>722</v>
      </c>
      <c r="BW508" s="50">
        <v>21</v>
      </c>
      <c r="BX508" s="3" t="s">
        <v>809</v>
      </c>
    </row>
    <row r="509" spans="1:76" ht="13.5" customHeight="1" x14ac:dyDescent="0.3">
      <c r="A509" s="53"/>
      <c r="B509" s="57" t="s">
        <v>198</v>
      </c>
      <c r="C509" s="150" t="s">
        <v>811</v>
      </c>
      <c r="D509" s="151"/>
      <c r="E509" s="151"/>
      <c r="F509" s="151"/>
      <c r="G509" s="151"/>
      <c r="H509" s="151"/>
      <c r="I509" s="151"/>
      <c r="J509" s="151"/>
      <c r="K509" s="152"/>
    </row>
    <row r="510" spans="1:76" ht="14.4" x14ac:dyDescent="0.3">
      <c r="A510" s="53"/>
      <c r="C510" s="54" t="s">
        <v>222</v>
      </c>
      <c r="D510" s="54" t="s">
        <v>4</v>
      </c>
      <c r="F510" s="55">
        <v>21</v>
      </c>
      <c r="K510" s="56"/>
    </row>
    <row r="511" spans="1:76" ht="14.4" x14ac:dyDescent="0.3">
      <c r="A511" s="1" t="s">
        <v>812</v>
      </c>
      <c r="B511" s="2" t="s">
        <v>813</v>
      </c>
      <c r="C511" s="75" t="s">
        <v>814</v>
      </c>
      <c r="D511" s="70"/>
      <c r="E511" s="2" t="s">
        <v>233</v>
      </c>
      <c r="F511" s="50">
        <v>6</v>
      </c>
      <c r="G511" s="50">
        <v>0</v>
      </c>
      <c r="H511" s="50">
        <f>ROUND(F511*AO511,2)</f>
        <v>0</v>
      </c>
      <c r="I511" s="50">
        <f>ROUND(F511*AP511,2)</f>
        <v>0</v>
      </c>
      <c r="J511" s="50">
        <f>ROUND(F511*G511,2)</f>
        <v>0</v>
      </c>
      <c r="K511" s="51" t="s">
        <v>116</v>
      </c>
      <c r="Z511" s="50">
        <f>ROUND(IF(AQ511="5",BJ511,0),2)</f>
        <v>0</v>
      </c>
      <c r="AB511" s="50">
        <f>ROUND(IF(AQ511="1",BH511,0),2)</f>
        <v>0</v>
      </c>
      <c r="AC511" s="50">
        <f>ROUND(IF(AQ511="1",BI511,0),2)</f>
        <v>0</v>
      </c>
      <c r="AD511" s="50">
        <f>ROUND(IF(AQ511="7",BH511,0),2)</f>
        <v>0</v>
      </c>
      <c r="AE511" s="50">
        <f>ROUND(IF(AQ511="7",BI511,0),2)</f>
        <v>0</v>
      </c>
      <c r="AF511" s="50">
        <f>ROUND(IF(AQ511="2",BH511,0),2)</f>
        <v>0</v>
      </c>
      <c r="AG511" s="50">
        <f>ROUND(IF(AQ511="2",BI511,0),2)</f>
        <v>0</v>
      </c>
      <c r="AH511" s="50">
        <f>ROUND(IF(AQ511="0",BJ511,0),2)</f>
        <v>0</v>
      </c>
      <c r="AI511" s="32" t="s">
        <v>4</v>
      </c>
      <c r="AJ511" s="50">
        <f>IF(AN511=0,J511,0)</f>
        <v>0</v>
      </c>
      <c r="AK511" s="50">
        <f>IF(AN511=12,J511,0)</f>
        <v>0</v>
      </c>
      <c r="AL511" s="50">
        <f>IF(AN511=21,J511,0)</f>
        <v>0</v>
      </c>
      <c r="AN511" s="50">
        <v>21</v>
      </c>
      <c r="AO511" s="50">
        <f>G511*0.255282651</f>
        <v>0</v>
      </c>
      <c r="AP511" s="50">
        <f>G511*(1-0.255282651)</f>
        <v>0</v>
      </c>
      <c r="AQ511" s="52" t="s">
        <v>158</v>
      </c>
      <c r="AV511" s="50">
        <f>ROUND(AW511+AX511,2)</f>
        <v>0</v>
      </c>
      <c r="AW511" s="50">
        <f>ROUND(F511*AO511,2)</f>
        <v>0</v>
      </c>
      <c r="AX511" s="50">
        <f>ROUND(F511*AP511,2)</f>
        <v>0</v>
      </c>
      <c r="AY511" s="52" t="s">
        <v>810</v>
      </c>
      <c r="AZ511" s="52" t="s">
        <v>749</v>
      </c>
      <c r="BA511" s="32" t="s">
        <v>119</v>
      </c>
      <c r="BC511" s="50">
        <f>AW511+AX511</f>
        <v>0</v>
      </c>
      <c r="BD511" s="50">
        <f>G511/(100-BE511)*100</f>
        <v>0</v>
      </c>
      <c r="BE511" s="50">
        <v>0</v>
      </c>
      <c r="BF511" s="50">
        <f>511</f>
        <v>511</v>
      </c>
      <c r="BH511" s="50">
        <f>F511*AO511</f>
        <v>0</v>
      </c>
      <c r="BI511" s="50">
        <f>F511*AP511</f>
        <v>0</v>
      </c>
      <c r="BJ511" s="50">
        <f>F511*G511</f>
        <v>0</v>
      </c>
      <c r="BK511" s="50"/>
      <c r="BL511" s="50">
        <v>722</v>
      </c>
      <c r="BW511" s="50">
        <v>21</v>
      </c>
      <c r="BX511" s="3" t="s">
        <v>814</v>
      </c>
    </row>
    <row r="512" spans="1:76" ht="13.5" customHeight="1" x14ac:dyDescent="0.3">
      <c r="A512" s="53"/>
      <c r="B512" s="57" t="s">
        <v>198</v>
      </c>
      <c r="C512" s="150" t="s">
        <v>815</v>
      </c>
      <c r="D512" s="151"/>
      <c r="E512" s="151"/>
      <c r="F512" s="151"/>
      <c r="G512" s="151"/>
      <c r="H512" s="151"/>
      <c r="I512" s="151"/>
      <c r="J512" s="151"/>
      <c r="K512" s="152"/>
    </row>
    <row r="513" spans="1:76" ht="14.4" x14ac:dyDescent="0.3">
      <c r="A513" s="53"/>
      <c r="C513" s="54" t="s">
        <v>150</v>
      </c>
      <c r="D513" s="54" t="s">
        <v>4</v>
      </c>
      <c r="F513" s="55">
        <v>6</v>
      </c>
      <c r="K513" s="56"/>
    </row>
    <row r="514" spans="1:76" ht="14.4" x14ac:dyDescent="0.3">
      <c r="A514" s="1" t="s">
        <v>816</v>
      </c>
      <c r="B514" s="2" t="s">
        <v>817</v>
      </c>
      <c r="C514" s="75" t="s">
        <v>818</v>
      </c>
      <c r="D514" s="70"/>
      <c r="E514" s="2" t="s">
        <v>233</v>
      </c>
      <c r="F514" s="50">
        <v>26</v>
      </c>
      <c r="G514" s="50">
        <v>0</v>
      </c>
      <c r="H514" s="50">
        <f>ROUND(F514*AO514,2)</f>
        <v>0</v>
      </c>
      <c r="I514" s="50">
        <f>ROUND(F514*AP514,2)</f>
        <v>0</v>
      </c>
      <c r="J514" s="50">
        <f>ROUND(F514*G514,2)</f>
        <v>0</v>
      </c>
      <c r="K514" s="51" t="s">
        <v>116</v>
      </c>
      <c r="Z514" s="50">
        <f>ROUND(IF(AQ514="5",BJ514,0),2)</f>
        <v>0</v>
      </c>
      <c r="AB514" s="50">
        <f>ROUND(IF(AQ514="1",BH514,0),2)</f>
        <v>0</v>
      </c>
      <c r="AC514" s="50">
        <f>ROUND(IF(AQ514="1",BI514,0),2)</f>
        <v>0</v>
      </c>
      <c r="AD514" s="50">
        <f>ROUND(IF(AQ514="7",BH514,0),2)</f>
        <v>0</v>
      </c>
      <c r="AE514" s="50">
        <f>ROUND(IF(AQ514="7",BI514,0),2)</f>
        <v>0</v>
      </c>
      <c r="AF514" s="50">
        <f>ROUND(IF(AQ514="2",BH514,0),2)</f>
        <v>0</v>
      </c>
      <c r="AG514" s="50">
        <f>ROUND(IF(AQ514="2",BI514,0),2)</f>
        <v>0</v>
      </c>
      <c r="AH514" s="50">
        <f>ROUND(IF(AQ514="0",BJ514,0),2)</f>
        <v>0</v>
      </c>
      <c r="AI514" s="32" t="s">
        <v>4</v>
      </c>
      <c r="AJ514" s="50">
        <f>IF(AN514=0,J514,0)</f>
        <v>0</v>
      </c>
      <c r="AK514" s="50">
        <f>IF(AN514=12,J514,0)</f>
        <v>0</v>
      </c>
      <c r="AL514" s="50">
        <f>IF(AN514=21,J514,0)</f>
        <v>0</v>
      </c>
      <c r="AN514" s="50">
        <v>21</v>
      </c>
      <c r="AO514" s="50">
        <f>G514*0.226912114</f>
        <v>0</v>
      </c>
      <c r="AP514" s="50">
        <f>G514*(1-0.226912114)</f>
        <v>0</v>
      </c>
      <c r="AQ514" s="52" t="s">
        <v>158</v>
      </c>
      <c r="AV514" s="50">
        <f>ROUND(AW514+AX514,2)</f>
        <v>0</v>
      </c>
      <c r="AW514" s="50">
        <f>ROUND(F514*AO514,2)</f>
        <v>0</v>
      </c>
      <c r="AX514" s="50">
        <f>ROUND(F514*AP514,2)</f>
        <v>0</v>
      </c>
      <c r="AY514" s="52" t="s">
        <v>810</v>
      </c>
      <c r="AZ514" s="52" t="s">
        <v>749</v>
      </c>
      <c r="BA514" s="32" t="s">
        <v>119</v>
      </c>
      <c r="BC514" s="50">
        <f>AW514+AX514</f>
        <v>0</v>
      </c>
      <c r="BD514" s="50">
        <f>G514/(100-BE514)*100</f>
        <v>0</v>
      </c>
      <c r="BE514" s="50">
        <v>0</v>
      </c>
      <c r="BF514" s="50">
        <f>514</f>
        <v>514</v>
      </c>
      <c r="BH514" s="50">
        <f>F514*AO514</f>
        <v>0</v>
      </c>
      <c r="BI514" s="50">
        <f>F514*AP514</f>
        <v>0</v>
      </c>
      <c r="BJ514" s="50">
        <f>F514*G514</f>
        <v>0</v>
      </c>
      <c r="BK514" s="50"/>
      <c r="BL514" s="50">
        <v>722</v>
      </c>
      <c r="BW514" s="50">
        <v>21</v>
      </c>
      <c r="BX514" s="3" t="s">
        <v>818</v>
      </c>
    </row>
    <row r="515" spans="1:76" ht="13.5" customHeight="1" x14ac:dyDescent="0.3">
      <c r="A515" s="53"/>
      <c r="B515" s="57" t="s">
        <v>198</v>
      </c>
      <c r="C515" s="150" t="s">
        <v>811</v>
      </c>
      <c r="D515" s="151"/>
      <c r="E515" s="151"/>
      <c r="F515" s="151"/>
      <c r="G515" s="151"/>
      <c r="H515" s="151"/>
      <c r="I515" s="151"/>
      <c r="J515" s="151"/>
      <c r="K515" s="152"/>
    </row>
    <row r="516" spans="1:76" ht="14.4" x14ac:dyDescent="0.3">
      <c r="A516" s="53"/>
      <c r="C516" s="54" t="s">
        <v>262</v>
      </c>
      <c r="D516" s="54" t="s">
        <v>4</v>
      </c>
      <c r="F516" s="55">
        <v>26</v>
      </c>
      <c r="K516" s="56"/>
    </row>
    <row r="517" spans="1:76" ht="14.4" x14ac:dyDescent="0.3">
      <c r="A517" s="1" t="s">
        <v>819</v>
      </c>
      <c r="B517" s="2" t="s">
        <v>820</v>
      </c>
      <c r="C517" s="75" t="s">
        <v>821</v>
      </c>
      <c r="D517" s="70"/>
      <c r="E517" s="2" t="s">
        <v>233</v>
      </c>
      <c r="F517" s="50">
        <v>13</v>
      </c>
      <c r="G517" s="50">
        <v>0</v>
      </c>
      <c r="H517" s="50">
        <f>ROUND(F517*AO517,2)</f>
        <v>0</v>
      </c>
      <c r="I517" s="50">
        <f>ROUND(F517*AP517,2)</f>
        <v>0</v>
      </c>
      <c r="J517" s="50">
        <f>ROUND(F517*G517,2)</f>
        <v>0</v>
      </c>
      <c r="K517" s="51" t="s">
        <v>116</v>
      </c>
      <c r="Z517" s="50">
        <f>ROUND(IF(AQ517="5",BJ517,0),2)</f>
        <v>0</v>
      </c>
      <c r="AB517" s="50">
        <f>ROUND(IF(AQ517="1",BH517,0),2)</f>
        <v>0</v>
      </c>
      <c r="AC517" s="50">
        <f>ROUND(IF(AQ517="1",BI517,0),2)</f>
        <v>0</v>
      </c>
      <c r="AD517" s="50">
        <f>ROUND(IF(AQ517="7",BH517,0),2)</f>
        <v>0</v>
      </c>
      <c r="AE517" s="50">
        <f>ROUND(IF(AQ517="7",BI517,0),2)</f>
        <v>0</v>
      </c>
      <c r="AF517" s="50">
        <f>ROUND(IF(AQ517="2",BH517,0),2)</f>
        <v>0</v>
      </c>
      <c r="AG517" s="50">
        <f>ROUND(IF(AQ517="2",BI517,0),2)</f>
        <v>0</v>
      </c>
      <c r="AH517" s="50">
        <f>ROUND(IF(AQ517="0",BJ517,0),2)</f>
        <v>0</v>
      </c>
      <c r="AI517" s="32" t="s">
        <v>4</v>
      </c>
      <c r="AJ517" s="50">
        <f>IF(AN517=0,J517,0)</f>
        <v>0</v>
      </c>
      <c r="AK517" s="50">
        <f>IF(AN517=12,J517,0)</f>
        <v>0</v>
      </c>
      <c r="AL517" s="50">
        <f>IF(AN517=21,J517,0)</f>
        <v>0</v>
      </c>
      <c r="AN517" s="50">
        <v>21</v>
      </c>
      <c r="AO517" s="50">
        <f>G517*0.230682632</f>
        <v>0</v>
      </c>
      <c r="AP517" s="50">
        <f>G517*(1-0.230682632)</f>
        <v>0</v>
      </c>
      <c r="AQ517" s="52" t="s">
        <v>158</v>
      </c>
      <c r="AV517" s="50">
        <f>ROUND(AW517+AX517,2)</f>
        <v>0</v>
      </c>
      <c r="AW517" s="50">
        <f>ROUND(F517*AO517,2)</f>
        <v>0</v>
      </c>
      <c r="AX517" s="50">
        <f>ROUND(F517*AP517,2)</f>
        <v>0</v>
      </c>
      <c r="AY517" s="52" t="s">
        <v>810</v>
      </c>
      <c r="AZ517" s="52" t="s">
        <v>749</v>
      </c>
      <c r="BA517" s="32" t="s">
        <v>119</v>
      </c>
      <c r="BC517" s="50">
        <f>AW517+AX517</f>
        <v>0</v>
      </c>
      <c r="BD517" s="50">
        <f>G517/(100-BE517)*100</f>
        <v>0</v>
      </c>
      <c r="BE517" s="50">
        <v>0</v>
      </c>
      <c r="BF517" s="50">
        <f>517</f>
        <v>517</v>
      </c>
      <c r="BH517" s="50">
        <f>F517*AO517</f>
        <v>0</v>
      </c>
      <c r="BI517" s="50">
        <f>F517*AP517</f>
        <v>0</v>
      </c>
      <c r="BJ517" s="50">
        <f>F517*G517</f>
        <v>0</v>
      </c>
      <c r="BK517" s="50"/>
      <c r="BL517" s="50">
        <v>722</v>
      </c>
      <c r="BW517" s="50">
        <v>21</v>
      </c>
      <c r="BX517" s="3" t="s">
        <v>821</v>
      </c>
    </row>
    <row r="518" spans="1:76" ht="13.5" customHeight="1" x14ac:dyDescent="0.3">
      <c r="A518" s="53"/>
      <c r="B518" s="57" t="s">
        <v>198</v>
      </c>
      <c r="C518" s="150" t="s">
        <v>822</v>
      </c>
      <c r="D518" s="151"/>
      <c r="E518" s="151"/>
      <c r="F518" s="151"/>
      <c r="G518" s="151"/>
      <c r="H518" s="151"/>
      <c r="I518" s="151"/>
      <c r="J518" s="151"/>
      <c r="K518" s="152"/>
    </row>
    <row r="519" spans="1:76" ht="14.4" x14ac:dyDescent="0.3">
      <c r="A519" s="53"/>
      <c r="C519" s="54" t="s">
        <v>110</v>
      </c>
      <c r="D519" s="54" t="s">
        <v>4</v>
      </c>
      <c r="F519" s="55">
        <v>13</v>
      </c>
      <c r="K519" s="56"/>
    </row>
    <row r="520" spans="1:76" ht="14.4" x14ac:dyDescent="0.3">
      <c r="A520" s="1" t="s">
        <v>823</v>
      </c>
      <c r="B520" s="2" t="s">
        <v>824</v>
      </c>
      <c r="C520" s="75" t="s">
        <v>821</v>
      </c>
      <c r="D520" s="70"/>
      <c r="E520" s="2" t="s">
        <v>233</v>
      </c>
      <c r="F520" s="50">
        <v>6</v>
      </c>
      <c r="G520" s="50">
        <v>0</v>
      </c>
      <c r="H520" s="50">
        <f>ROUND(F520*AO520,2)</f>
        <v>0</v>
      </c>
      <c r="I520" s="50">
        <f>ROUND(F520*AP520,2)</f>
        <v>0</v>
      </c>
      <c r="J520" s="50">
        <f>ROUND(F520*G520,2)</f>
        <v>0</v>
      </c>
      <c r="K520" s="51" t="s">
        <v>116</v>
      </c>
      <c r="Z520" s="50">
        <f>ROUND(IF(AQ520="5",BJ520,0),2)</f>
        <v>0</v>
      </c>
      <c r="AB520" s="50">
        <f>ROUND(IF(AQ520="1",BH520,0),2)</f>
        <v>0</v>
      </c>
      <c r="AC520" s="50">
        <f>ROUND(IF(AQ520="1",BI520,0),2)</f>
        <v>0</v>
      </c>
      <c r="AD520" s="50">
        <f>ROUND(IF(AQ520="7",BH520,0),2)</f>
        <v>0</v>
      </c>
      <c r="AE520" s="50">
        <f>ROUND(IF(AQ520="7",BI520,0),2)</f>
        <v>0</v>
      </c>
      <c r="AF520" s="50">
        <f>ROUND(IF(AQ520="2",BH520,0),2)</f>
        <v>0</v>
      </c>
      <c r="AG520" s="50">
        <f>ROUND(IF(AQ520="2",BI520,0),2)</f>
        <v>0</v>
      </c>
      <c r="AH520" s="50">
        <f>ROUND(IF(AQ520="0",BJ520,0),2)</f>
        <v>0</v>
      </c>
      <c r="AI520" s="32" t="s">
        <v>4</v>
      </c>
      <c r="AJ520" s="50">
        <f>IF(AN520=0,J520,0)</f>
        <v>0</v>
      </c>
      <c r="AK520" s="50">
        <f>IF(AN520=12,J520,0)</f>
        <v>0</v>
      </c>
      <c r="AL520" s="50">
        <f>IF(AN520=21,J520,0)</f>
        <v>0</v>
      </c>
      <c r="AN520" s="50">
        <v>21</v>
      </c>
      <c r="AO520" s="50">
        <f>G520*0.244039835</f>
        <v>0</v>
      </c>
      <c r="AP520" s="50">
        <f>G520*(1-0.244039835)</f>
        <v>0</v>
      </c>
      <c r="AQ520" s="52" t="s">
        <v>158</v>
      </c>
      <c r="AV520" s="50">
        <f>ROUND(AW520+AX520,2)</f>
        <v>0</v>
      </c>
      <c r="AW520" s="50">
        <f>ROUND(F520*AO520,2)</f>
        <v>0</v>
      </c>
      <c r="AX520" s="50">
        <f>ROUND(F520*AP520,2)</f>
        <v>0</v>
      </c>
      <c r="AY520" s="52" t="s">
        <v>810</v>
      </c>
      <c r="AZ520" s="52" t="s">
        <v>749</v>
      </c>
      <c r="BA520" s="32" t="s">
        <v>119</v>
      </c>
      <c r="BC520" s="50">
        <f>AW520+AX520</f>
        <v>0</v>
      </c>
      <c r="BD520" s="50">
        <f>G520/(100-BE520)*100</f>
        <v>0</v>
      </c>
      <c r="BE520" s="50">
        <v>0</v>
      </c>
      <c r="BF520" s="50">
        <f>520</f>
        <v>520</v>
      </c>
      <c r="BH520" s="50">
        <f>F520*AO520</f>
        <v>0</v>
      </c>
      <c r="BI520" s="50">
        <f>F520*AP520</f>
        <v>0</v>
      </c>
      <c r="BJ520" s="50">
        <f>F520*G520</f>
        <v>0</v>
      </c>
      <c r="BK520" s="50"/>
      <c r="BL520" s="50">
        <v>722</v>
      </c>
      <c r="BW520" s="50">
        <v>21</v>
      </c>
      <c r="BX520" s="3" t="s">
        <v>821</v>
      </c>
    </row>
    <row r="521" spans="1:76" ht="13.5" customHeight="1" x14ac:dyDescent="0.3">
      <c r="A521" s="53"/>
      <c r="B521" s="57" t="s">
        <v>198</v>
      </c>
      <c r="C521" s="150" t="s">
        <v>825</v>
      </c>
      <c r="D521" s="151"/>
      <c r="E521" s="151"/>
      <c r="F521" s="151"/>
      <c r="G521" s="151"/>
      <c r="H521" s="151"/>
      <c r="I521" s="151"/>
      <c r="J521" s="151"/>
      <c r="K521" s="152"/>
    </row>
    <row r="522" spans="1:76" ht="14.4" x14ac:dyDescent="0.3">
      <c r="A522" s="53"/>
      <c r="C522" s="54" t="s">
        <v>150</v>
      </c>
      <c r="D522" s="54" t="s">
        <v>4</v>
      </c>
      <c r="F522" s="55">
        <v>6</v>
      </c>
      <c r="K522" s="56"/>
    </row>
    <row r="523" spans="1:76" ht="14.4" x14ac:dyDescent="0.3">
      <c r="A523" s="1" t="s">
        <v>826</v>
      </c>
      <c r="B523" s="2" t="s">
        <v>827</v>
      </c>
      <c r="C523" s="75" t="s">
        <v>821</v>
      </c>
      <c r="D523" s="70"/>
      <c r="E523" s="2" t="s">
        <v>233</v>
      </c>
      <c r="F523" s="50">
        <v>21</v>
      </c>
      <c r="G523" s="50">
        <v>0</v>
      </c>
      <c r="H523" s="50">
        <f>ROUND(F523*AO523,2)</f>
        <v>0</v>
      </c>
      <c r="I523" s="50">
        <f>ROUND(F523*AP523,2)</f>
        <v>0</v>
      </c>
      <c r="J523" s="50">
        <f>ROUND(F523*G523,2)</f>
        <v>0</v>
      </c>
      <c r="K523" s="51" t="s">
        <v>116</v>
      </c>
      <c r="Z523" s="50">
        <f>ROUND(IF(AQ523="5",BJ523,0),2)</f>
        <v>0</v>
      </c>
      <c r="AB523" s="50">
        <f>ROUND(IF(AQ523="1",BH523,0),2)</f>
        <v>0</v>
      </c>
      <c r="AC523" s="50">
        <f>ROUND(IF(AQ523="1",BI523,0),2)</f>
        <v>0</v>
      </c>
      <c r="AD523" s="50">
        <f>ROUND(IF(AQ523="7",BH523,0),2)</f>
        <v>0</v>
      </c>
      <c r="AE523" s="50">
        <f>ROUND(IF(AQ523="7",BI523,0),2)</f>
        <v>0</v>
      </c>
      <c r="AF523" s="50">
        <f>ROUND(IF(AQ523="2",BH523,0),2)</f>
        <v>0</v>
      </c>
      <c r="AG523" s="50">
        <f>ROUND(IF(AQ523="2",BI523,0),2)</f>
        <v>0</v>
      </c>
      <c r="AH523" s="50">
        <f>ROUND(IF(AQ523="0",BJ523,0),2)</f>
        <v>0</v>
      </c>
      <c r="AI523" s="32" t="s">
        <v>4</v>
      </c>
      <c r="AJ523" s="50">
        <f>IF(AN523=0,J523,0)</f>
        <v>0</v>
      </c>
      <c r="AK523" s="50">
        <f>IF(AN523=12,J523,0)</f>
        <v>0</v>
      </c>
      <c r="AL523" s="50">
        <f>IF(AN523=21,J523,0)</f>
        <v>0</v>
      </c>
      <c r="AN523" s="50">
        <v>21</v>
      </c>
      <c r="AO523" s="50">
        <f>G523*0.242374429</f>
        <v>0</v>
      </c>
      <c r="AP523" s="50">
        <f>G523*(1-0.242374429)</f>
        <v>0</v>
      </c>
      <c r="AQ523" s="52" t="s">
        <v>158</v>
      </c>
      <c r="AV523" s="50">
        <f>ROUND(AW523+AX523,2)</f>
        <v>0</v>
      </c>
      <c r="AW523" s="50">
        <f>ROUND(F523*AO523,2)</f>
        <v>0</v>
      </c>
      <c r="AX523" s="50">
        <f>ROUND(F523*AP523,2)</f>
        <v>0</v>
      </c>
      <c r="AY523" s="52" t="s">
        <v>810</v>
      </c>
      <c r="AZ523" s="52" t="s">
        <v>749</v>
      </c>
      <c r="BA523" s="32" t="s">
        <v>119</v>
      </c>
      <c r="BC523" s="50">
        <f>AW523+AX523</f>
        <v>0</v>
      </c>
      <c r="BD523" s="50">
        <f>G523/(100-BE523)*100</f>
        <v>0</v>
      </c>
      <c r="BE523" s="50">
        <v>0</v>
      </c>
      <c r="BF523" s="50">
        <f>523</f>
        <v>523</v>
      </c>
      <c r="BH523" s="50">
        <f>F523*AO523</f>
        <v>0</v>
      </c>
      <c r="BI523" s="50">
        <f>F523*AP523</f>
        <v>0</v>
      </c>
      <c r="BJ523" s="50">
        <f>F523*G523</f>
        <v>0</v>
      </c>
      <c r="BK523" s="50"/>
      <c r="BL523" s="50">
        <v>722</v>
      </c>
      <c r="BW523" s="50">
        <v>21</v>
      </c>
      <c r="BX523" s="3" t="s">
        <v>821</v>
      </c>
    </row>
    <row r="524" spans="1:76" ht="13.5" customHeight="1" x14ac:dyDescent="0.3">
      <c r="A524" s="53"/>
      <c r="B524" s="57" t="s">
        <v>198</v>
      </c>
      <c r="C524" s="150" t="s">
        <v>828</v>
      </c>
      <c r="D524" s="151"/>
      <c r="E524" s="151"/>
      <c r="F524" s="151"/>
      <c r="G524" s="151"/>
      <c r="H524" s="151"/>
      <c r="I524" s="151"/>
      <c r="J524" s="151"/>
      <c r="K524" s="152"/>
    </row>
    <row r="525" spans="1:76" ht="14.4" x14ac:dyDescent="0.3">
      <c r="A525" s="53"/>
      <c r="C525" s="54" t="s">
        <v>222</v>
      </c>
      <c r="D525" s="54" t="s">
        <v>4</v>
      </c>
      <c r="F525" s="55">
        <v>21</v>
      </c>
      <c r="K525" s="56"/>
    </row>
    <row r="526" spans="1:76" ht="14.4" x14ac:dyDescent="0.3">
      <c r="A526" s="1" t="s">
        <v>829</v>
      </c>
      <c r="B526" s="2" t="s">
        <v>830</v>
      </c>
      <c r="C526" s="75" t="s">
        <v>831</v>
      </c>
      <c r="D526" s="70"/>
      <c r="E526" s="2" t="s">
        <v>233</v>
      </c>
      <c r="F526" s="50">
        <v>13</v>
      </c>
      <c r="G526" s="50">
        <v>0</v>
      </c>
      <c r="H526" s="50">
        <f>ROUND(F526*AO526,2)</f>
        <v>0</v>
      </c>
      <c r="I526" s="50">
        <f>ROUND(F526*AP526,2)</f>
        <v>0</v>
      </c>
      <c r="J526" s="50">
        <f>ROUND(F526*G526,2)</f>
        <v>0</v>
      </c>
      <c r="K526" s="51" t="s">
        <v>116</v>
      </c>
      <c r="Z526" s="50">
        <f>ROUND(IF(AQ526="5",BJ526,0),2)</f>
        <v>0</v>
      </c>
      <c r="AB526" s="50">
        <f>ROUND(IF(AQ526="1",BH526,0),2)</f>
        <v>0</v>
      </c>
      <c r="AC526" s="50">
        <f>ROUND(IF(AQ526="1",BI526,0),2)</f>
        <v>0</v>
      </c>
      <c r="AD526" s="50">
        <f>ROUND(IF(AQ526="7",BH526,0),2)</f>
        <v>0</v>
      </c>
      <c r="AE526" s="50">
        <f>ROUND(IF(AQ526="7",BI526,0),2)</f>
        <v>0</v>
      </c>
      <c r="AF526" s="50">
        <f>ROUND(IF(AQ526="2",BH526,0),2)</f>
        <v>0</v>
      </c>
      <c r="AG526" s="50">
        <f>ROUND(IF(AQ526="2",BI526,0),2)</f>
        <v>0</v>
      </c>
      <c r="AH526" s="50">
        <f>ROUND(IF(AQ526="0",BJ526,0),2)</f>
        <v>0</v>
      </c>
      <c r="AI526" s="32" t="s">
        <v>4</v>
      </c>
      <c r="AJ526" s="50">
        <f>IF(AN526=0,J526,0)</f>
        <v>0</v>
      </c>
      <c r="AK526" s="50">
        <f>IF(AN526=12,J526,0)</f>
        <v>0</v>
      </c>
      <c r="AL526" s="50">
        <f>IF(AN526=21,J526,0)</f>
        <v>0</v>
      </c>
      <c r="AN526" s="50">
        <v>21</v>
      </c>
      <c r="AO526" s="50">
        <f>G526*0.509247762</f>
        <v>0</v>
      </c>
      <c r="AP526" s="50">
        <f>G526*(1-0.509247762)</f>
        <v>0</v>
      </c>
      <c r="AQ526" s="52" t="s">
        <v>158</v>
      </c>
      <c r="AV526" s="50">
        <f>ROUND(AW526+AX526,2)</f>
        <v>0</v>
      </c>
      <c r="AW526" s="50">
        <f>ROUND(F526*AO526,2)</f>
        <v>0</v>
      </c>
      <c r="AX526" s="50">
        <f>ROUND(F526*AP526,2)</f>
        <v>0</v>
      </c>
      <c r="AY526" s="52" t="s">
        <v>810</v>
      </c>
      <c r="AZ526" s="52" t="s">
        <v>749</v>
      </c>
      <c r="BA526" s="32" t="s">
        <v>119</v>
      </c>
      <c r="BC526" s="50">
        <f>AW526+AX526</f>
        <v>0</v>
      </c>
      <c r="BD526" s="50">
        <f>G526/(100-BE526)*100</f>
        <v>0</v>
      </c>
      <c r="BE526" s="50">
        <v>0</v>
      </c>
      <c r="BF526" s="50">
        <f>526</f>
        <v>526</v>
      </c>
      <c r="BH526" s="50">
        <f>F526*AO526</f>
        <v>0</v>
      </c>
      <c r="BI526" s="50">
        <f>F526*AP526</f>
        <v>0</v>
      </c>
      <c r="BJ526" s="50">
        <f>F526*G526</f>
        <v>0</v>
      </c>
      <c r="BK526" s="50"/>
      <c r="BL526" s="50">
        <v>722</v>
      </c>
      <c r="BW526" s="50">
        <v>21</v>
      </c>
      <c r="BX526" s="3" t="s">
        <v>831</v>
      </c>
    </row>
    <row r="527" spans="1:76" ht="13.5" customHeight="1" x14ac:dyDescent="0.3">
      <c r="A527" s="53"/>
      <c r="B527" s="57" t="s">
        <v>198</v>
      </c>
      <c r="C527" s="150" t="s">
        <v>822</v>
      </c>
      <c r="D527" s="151"/>
      <c r="E527" s="151"/>
      <c r="F527" s="151"/>
      <c r="G527" s="151"/>
      <c r="H527" s="151"/>
      <c r="I527" s="151"/>
      <c r="J527" s="151"/>
      <c r="K527" s="152"/>
    </row>
    <row r="528" spans="1:76" ht="14.4" x14ac:dyDescent="0.3">
      <c r="A528" s="53"/>
      <c r="C528" s="54" t="s">
        <v>110</v>
      </c>
      <c r="D528" s="54" t="s">
        <v>4</v>
      </c>
      <c r="F528" s="55">
        <v>13</v>
      </c>
      <c r="K528" s="56"/>
    </row>
    <row r="529" spans="1:76" ht="14.4" x14ac:dyDescent="0.3">
      <c r="A529" s="1" t="s">
        <v>832</v>
      </c>
      <c r="B529" s="2" t="s">
        <v>833</v>
      </c>
      <c r="C529" s="75" t="s">
        <v>834</v>
      </c>
      <c r="D529" s="70"/>
      <c r="E529" s="2" t="s">
        <v>278</v>
      </c>
      <c r="F529" s="50">
        <v>8</v>
      </c>
      <c r="G529" s="50">
        <v>0</v>
      </c>
      <c r="H529" s="50">
        <f>ROUND(F529*AO529,2)</f>
        <v>0</v>
      </c>
      <c r="I529" s="50">
        <f>ROUND(F529*AP529,2)</f>
        <v>0</v>
      </c>
      <c r="J529" s="50">
        <f>ROUND(F529*G529,2)</f>
        <v>0</v>
      </c>
      <c r="K529" s="51" t="s">
        <v>116</v>
      </c>
      <c r="Z529" s="50">
        <f>ROUND(IF(AQ529="5",BJ529,0),2)</f>
        <v>0</v>
      </c>
      <c r="AB529" s="50">
        <f>ROUND(IF(AQ529="1",BH529,0),2)</f>
        <v>0</v>
      </c>
      <c r="AC529" s="50">
        <f>ROUND(IF(AQ529="1",BI529,0),2)</f>
        <v>0</v>
      </c>
      <c r="AD529" s="50">
        <f>ROUND(IF(AQ529="7",BH529,0),2)</f>
        <v>0</v>
      </c>
      <c r="AE529" s="50">
        <f>ROUND(IF(AQ529="7",BI529,0),2)</f>
        <v>0</v>
      </c>
      <c r="AF529" s="50">
        <f>ROUND(IF(AQ529="2",BH529,0),2)</f>
        <v>0</v>
      </c>
      <c r="AG529" s="50">
        <f>ROUND(IF(AQ529="2",BI529,0),2)</f>
        <v>0</v>
      </c>
      <c r="AH529" s="50">
        <f>ROUND(IF(AQ529="0",BJ529,0),2)</f>
        <v>0</v>
      </c>
      <c r="AI529" s="32" t="s">
        <v>4</v>
      </c>
      <c r="AJ529" s="50">
        <f>IF(AN529=0,J529,0)</f>
        <v>0</v>
      </c>
      <c r="AK529" s="50">
        <f>IF(AN529=12,J529,0)</f>
        <v>0</v>
      </c>
      <c r="AL529" s="50">
        <f>IF(AN529=21,J529,0)</f>
        <v>0</v>
      </c>
      <c r="AN529" s="50">
        <v>21</v>
      </c>
      <c r="AO529" s="50">
        <f>G529*0.517830779</f>
        <v>0</v>
      </c>
      <c r="AP529" s="50">
        <f>G529*(1-0.517830779)</f>
        <v>0</v>
      </c>
      <c r="AQ529" s="52" t="s">
        <v>158</v>
      </c>
      <c r="AV529" s="50">
        <f>ROUND(AW529+AX529,2)</f>
        <v>0</v>
      </c>
      <c r="AW529" s="50">
        <f>ROUND(F529*AO529,2)</f>
        <v>0</v>
      </c>
      <c r="AX529" s="50">
        <f>ROUND(F529*AP529,2)</f>
        <v>0</v>
      </c>
      <c r="AY529" s="52" t="s">
        <v>810</v>
      </c>
      <c r="AZ529" s="52" t="s">
        <v>749</v>
      </c>
      <c r="BA529" s="32" t="s">
        <v>119</v>
      </c>
      <c r="BC529" s="50">
        <f>AW529+AX529</f>
        <v>0</v>
      </c>
      <c r="BD529" s="50">
        <f>G529/(100-BE529)*100</f>
        <v>0</v>
      </c>
      <c r="BE529" s="50">
        <v>0</v>
      </c>
      <c r="BF529" s="50">
        <f>529</f>
        <v>529</v>
      </c>
      <c r="BH529" s="50">
        <f>F529*AO529</f>
        <v>0</v>
      </c>
      <c r="BI529" s="50">
        <f>F529*AP529</f>
        <v>0</v>
      </c>
      <c r="BJ529" s="50">
        <f>F529*G529</f>
        <v>0</v>
      </c>
      <c r="BK529" s="50"/>
      <c r="BL529" s="50">
        <v>722</v>
      </c>
      <c r="BW529" s="50">
        <v>21</v>
      </c>
      <c r="BX529" s="3" t="s">
        <v>834</v>
      </c>
    </row>
    <row r="530" spans="1:76" ht="14.4" x14ac:dyDescent="0.3">
      <c r="A530" s="53"/>
      <c r="C530" s="54" t="s">
        <v>145</v>
      </c>
      <c r="D530" s="54" t="s">
        <v>4</v>
      </c>
      <c r="F530" s="55">
        <v>8</v>
      </c>
      <c r="K530" s="56"/>
    </row>
    <row r="531" spans="1:76" ht="14.4" x14ac:dyDescent="0.3">
      <c r="A531" s="1" t="s">
        <v>835</v>
      </c>
      <c r="B531" s="2" t="s">
        <v>836</v>
      </c>
      <c r="C531" s="75" t="s">
        <v>837</v>
      </c>
      <c r="D531" s="70"/>
      <c r="E531" s="2" t="s">
        <v>233</v>
      </c>
      <c r="F531" s="50">
        <v>53.5</v>
      </c>
      <c r="G531" s="50">
        <v>0</v>
      </c>
      <c r="H531" s="50">
        <f>ROUND(F531*AO531,2)</f>
        <v>0</v>
      </c>
      <c r="I531" s="50">
        <f>ROUND(F531*AP531,2)</f>
        <v>0</v>
      </c>
      <c r="J531" s="50">
        <f>ROUND(F531*G531,2)</f>
        <v>0</v>
      </c>
      <c r="K531" s="51" t="s">
        <v>116</v>
      </c>
      <c r="Z531" s="50">
        <f>ROUND(IF(AQ531="5",BJ531,0),2)</f>
        <v>0</v>
      </c>
      <c r="AB531" s="50">
        <f>ROUND(IF(AQ531="1",BH531,0),2)</f>
        <v>0</v>
      </c>
      <c r="AC531" s="50">
        <f>ROUND(IF(AQ531="1",BI531,0),2)</f>
        <v>0</v>
      </c>
      <c r="AD531" s="50">
        <f>ROUND(IF(AQ531="7",BH531,0),2)</f>
        <v>0</v>
      </c>
      <c r="AE531" s="50">
        <f>ROUND(IF(AQ531="7",BI531,0),2)</f>
        <v>0</v>
      </c>
      <c r="AF531" s="50">
        <f>ROUND(IF(AQ531="2",BH531,0),2)</f>
        <v>0</v>
      </c>
      <c r="AG531" s="50">
        <f>ROUND(IF(AQ531="2",BI531,0),2)</f>
        <v>0</v>
      </c>
      <c r="AH531" s="50">
        <f>ROUND(IF(AQ531="0",BJ531,0),2)</f>
        <v>0</v>
      </c>
      <c r="AI531" s="32" t="s">
        <v>4</v>
      </c>
      <c r="AJ531" s="50">
        <f>IF(AN531=0,J531,0)</f>
        <v>0</v>
      </c>
      <c r="AK531" s="50">
        <f>IF(AN531=12,J531,0)</f>
        <v>0</v>
      </c>
      <c r="AL531" s="50">
        <f>IF(AN531=21,J531,0)</f>
        <v>0</v>
      </c>
      <c r="AN531" s="50">
        <v>21</v>
      </c>
      <c r="AO531" s="50">
        <f>G531*0.051684939</f>
        <v>0</v>
      </c>
      <c r="AP531" s="50">
        <f>G531*(1-0.051684939)</f>
        <v>0</v>
      </c>
      <c r="AQ531" s="52" t="s">
        <v>158</v>
      </c>
      <c r="AV531" s="50">
        <f>ROUND(AW531+AX531,2)</f>
        <v>0</v>
      </c>
      <c r="AW531" s="50">
        <f>ROUND(F531*AO531,2)</f>
        <v>0</v>
      </c>
      <c r="AX531" s="50">
        <f>ROUND(F531*AP531,2)</f>
        <v>0</v>
      </c>
      <c r="AY531" s="52" t="s">
        <v>810</v>
      </c>
      <c r="AZ531" s="52" t="s">
        <v>749</v>
      </c>
      <c r="BA531" s="32" t="s">
        <v>119</v>
      </c>
      <c r="BC531" s="50">
        <f>AW531+AX531</f>
        <v>0</v>
      </c>
      <c r="BD531" s="50">
        <f>G531/(100-BE531)*100</f>
        <v>0</v>
      </c>
      <c r="BE531" s="50">
        <v>0</v>
      </c>
      <c r="BF531" s="50">
        <f>531</f>
        <v>531</v>
      </c>
      <c r="BH531" s="50">
        <f>F531*AO531</f>
        <v>0</v>
      </c>
      <c r="BI531" s="50">
        <f>F531*AP531</f>
        <v>0</v>
      </c>
      <c r="BJ531" s="50">
        <f>F531*G531</f>
        <v>0</v>
      </c>
      <c r="BK531" s="50"/>
      <c r="BL531" s="50">
        <v>722</v>
      </c>
      <c r="BW531" s="50">
        <v>21</v>
      </c>
      <c r="BX531" s="3" t="s">
        <v>837</v>
      </c>
    </row>
    <row r="532" spans="1:76" ht="14.4" x14ac:dyDescent="0.3">
      <c r="A532" s="53"/>
      <c r="C532" s="54" t="s">
        <v>838</v>
      </c>
      <c r="D532" s="54" t="s">
        <v>4</v>
      </c>
      <c r="F532" s="55">
        <v>53.5</v>
      </c>
      <c r="K532" s="56"/>
    </row>
    <row r="533" spans="1:76" ht="14.4" x14ac:dyDescent="0.3">
      <c r="A533" s="1" t="s">
        <v>839</v>
      </c>
      <c r="B533" s="2" t="s">
        <v>840</v>
      </c>
      <c r="C533" s="75" t="s">
        <v>841</v>
      </c>
      <c r="D533" s="70"/>
      <c r="E533" s="2" t="s">
        <v>278</v>
      </c>
      <c r="F533" s="50">
        <v>1</v>
      </c>
      <c r="G533" s="50">
        <v>0</v>
      </c>
      <c r="H533" s="50">
        <f>ROUND(F533*AO533,2)</f>
        <v>0</v>
      </c>
      <c r="I533" s="50">
        <f>ROUND(F533*AP533,2)</f>
        <v>0</v>
      </c>
      <c r="J533" s="50">
        <f>ROUND(F533*G533,2)</f>
        <v>0</v>
      </c>
      <c r="K533" s="51" t="s">
        <v>116</v>
      </c>
      <c r="Z533" s="50">
        <f>ROUND(IF(AQ533="5",BJ533,0),2)</f>
        <v>0</v>
      </c>
      <c r="AB533" s="50">
        <f>ROUND(IF(AQ533="1",BH533,0),2)</f>
        <v>0</v>
      </c>
      <c r="AC533" s="50">
        <f>ROUND(IF(AQ533="1",BI533,0),2)</f>
        <v>0</v>
      </c>
      <c r="AD533" s="50">
        <f>ROUND(IF(AQ533="7",BH533,0),2)</f>
        <v>0</v>
      </c>
      <c r="AE533" s="50">
        <f>ROUND(IF(AQ533="7",BI533,0),2)</f>
        <v>0</v>
      </c>
      <c r="AF533" s="50">
        <f>ROUND(IF(AQ533="2",BH533,0),2)</f>
        <v>0</v>
      </c>
      <c r="AG533" s="50">
        <f>ROUND(IF(AQ533="2",BI533,0),2)</f>
        <v>0</v>
      </c>
      <c r="AH533" s="50">
        <f>ROUND(IF(AQ533="0",BJ533,0),2)</f>
        <v>0</v>
      </c>
      <c r="AI533" s="32" t="s">
        <v>4</v>
      </c>
      <c r="AJ533" s="50">
        <f>IF(AN533=0,J533,0)</f>
        <v>0</v>
      </c>
      <c r="AK533" s="50">
        <f>IF(AN533=12,J533,0)</f>
        <v>0</v>
      </c>
      <c r="AL533" s="50">
        <f>IF(AN533=21,J533,0)</f>
        <v>0</v>
      </c>
      <c r="AN533" s="50">
        <v>21</v>
      </c>
      <c r="AO533" s="50">
        <f>G533*0.814498715</f>
        <v>0</v>
      </c>
      <c r="AP533" s="50">
        <f>G533*(1-0.814498715)</f>
        <v>0</v>
      </c>
      <c r="AQ533" s="52" t="s">
        <v>158</v>
      </c>
      <c r="AV533" s="50">
        <f>ROUND(AW533+AX533,2)</f>
        <v>0</v>
      </c>
      <c r="AW533" s="50">
        <f>ROUND(F533*AO533,2)</f>
        <v>0</v>
      </c>
      <c r="AX533" s="50">
        <f>ROUND(F533*AP533,2)</f>
        <v>0</v>
      </c>
      <c r="AY533" s="52" t="s">
        <v>810</v>
      </c>
      <c r="AZ533" s="52" t="s">
        <v>749</v>
      </c>
      <c r="BA533" s="32" t="s">
        <v>119</v>
      </c>
      <c r="BC533" s="50">
        <f>AW533+AX533</f>
        <v>0</v>
      </c>
      <c r="BD533" s="50">
        <f>G533/(100-BE533)*100</f>
        <v>0</v>
      </c>
      <c r="BE533" s="50">
        <v>0</v>
      </c>
      <c r="BF533" s="50">
        <f>533</f>
        <v>533</v>
      </c>
      <c r="BH533" s="50">
        <f>F533*AO533</f>
        <v>0</v>
      </c>
      <c r="BI533" s="50">
        <f>F533*AP533</f>
        <v>0</v>
      </c>
      <c r="BJ533" s="50">
        <f>F533*G533</f>
        <v>0</v>
      </c>
      <c r="BK533" s="50"/>
      <c r="BL533" s="50">
        <v>722</v>
      </c>
      <c r="BW533" s="50">
        <v>21</v>
      </c>
      <c r="BX533" s="3" t="s">
        <v>841</v>
      </c>
    </row>
    <row r="534" spans="1:76" ht="14.4" x14ac:dyDescent="0.3">
      <c r="A534" s="53"/>
      <c r="C534" s="54" t="s">
        <v>112</v>
      </c>
      <c r="D534" s="54" t="s">
        <v>4</v>
      </c>
      <c r="F534" s="55">
        <v>1</v>
      </c>
      <c r="K534" s="56"/>
    </row>
    <row r="535" spans="1:76" ht="14.4" x14ac:dyDescent="0.3">
      <c r="A535" s="1" t="s">
        <v>842</v>
      </c>
      <c r="B535" s="2" t="s">
        <v>843</v>
      </c>
      <c r="C535" s="75" t="s">
        <v>844</v>
      </c>
      <c r="D535" s="70"/>
      <c r="E535" s="2" t="s">
        <v>278</v>
      </c>
      <c r="F535" s="50">
        <v>2</v>
      </c>
      <c r="G535" s="50">
        <v>0</v>
      </c>
      <c r="H535" s="50">
        <f>ROUND(F535*AO535,2)</f>
        <v>0</v>
      </c>
      <c r="I535" s="50">
        <f>ROUND(F535*AP535,2)</f>
        <v>0</v>
      </c>
      <c r="J535" s="50">
        <f>ROUND(F535*G535,2)</f>
        <v>0</v>
      </c>
      <c r="K535" s="51" t="s">
        <v>116</v>
      </c>
      <c r="Z535" s="50">
        <f>ROUND(IF(AQ535="5",BJ535,0),2)</f>
        <v>0</v>
      </c>
      <c r="AB535" s="50">
        <f>ROUND(IF(AQ535="1",BH535,0),2)</f>
        <v>0</v>
      </c>
      <c r="AC535" s="50">
        <f>ROUND(IF(AQ535="1",BI535,0),2)</f>
        <v>0</v>
      </c>
      <c r="AD535" s="50">
        <f>ROUND(IF(AQ535="7",BH535,0),2)</f>
        <v>0</v>
      </c>
      <c r="AE535" s="50">
        <f>ROUND(IF(AQ535="7",BI535,0),2)</f>
        <v>0</v>
      </c>
      <c r="AF535" s="50">
        <f>ROUND(IF(AQ535="2",BH535,0),2)</f>
        <v>0</v>
      </c>
      <c r="AG535" s="50">
        <f>ROUND(IF(AQ535="2",BI535,0),2)</f>
        <v>0</v>
      </c>
      <c r="AH535" s="50">
        <f>ROUND(IF(AQ535="0",BJ535,0),2)</f>
        <v>0</v>
      </c>
      <c r="AI535" s="32" t="s">
        <v>4</v>
      </c>
      <c r="AJ535" s="50">
        <f>IF(AN535=0,J535,0)</f>
        <v>0</v>
      </c>
      <c r="AK535" s="50">
        <f>IF(AN535=12,J535,0)</f>
        <v>0</v>
      </c>
      <c r="AL535" s="50">
        <f>IF(AN535=21,J535,0)</f>
        <v>0</v>
      </c>
      <c r="AN535" s="50">
        <v>21</v>
      </c>
      <c r="AO535" s="50">
        <f>G535*0.619091725</f>
        <v>0</v>
      </c>
      <c r="AP535" s="50">
        <f>G535*(1-0.619091725)</f>
        <v>0</v>
      </c>
      <c r="AQ535" s="52" t="s">
        <v>158</v>
      </c>
      <c r="AV535" s="50">
        <f>ROUND(AW535+AX535,2)</f>
        <v>0</v>
      </c>
      <c r="AW535" s="50">
        <f>ROUND(F535*AO535,2)</f>
        <v>0</v>
      </c>
      <c r="AX535" s="50">
        <f>ROUND(F535*AP535,2)</f>
        <v>0</v>
      </c>
      <c r="AY535" s="52" t="s">
        <v>810</v>
      </c>
      <c r="AZ535" s="52" t="s">
        <v>749</v>
      </c>
      <c r="BA535" s="32" t="s">
        <v>119</v>
      </c>
      <c r="BC535" s="50">
        <f>AW535+AX535</f>
        <v>0</v>
      </c>
      <c r="BD535" s="50">
        <f>G535/(100-BE535)*100</f>
        <v>0</v>
      </c>
      <c r="BE535" s="50">
        <v>0</v>
      </c>
      <c r="BF535" s="50">
        <f>535</f>
        <v>535</v>
      </c>
      <c r="BH535" s="50">
        <f>F535*AO535</f>
        <v>0</v>
      </c>
      <c r="BI535" s="50">
        <f>F535*AP535</f>
        <v>0</v>
      </c>
      <c r="BJ535" s="50">
        <f>F535*G535</f>
        <v>0</v>
      </c>
      <c r="BK535" s="50"/>
      <c r="BL535" s="50">
        <v>722</v>
      </c>
      <c r="BW535" s="50">
        <v>21</v>
      </c>
      <c r="BX535" s="3" t="s">
        <v>844</v>
      </c>
    </row>
    <row r="536" spans="1:76" ht="14.4" x14ac:dyDescent="0.3">
      <c r="A536" s="53"/>
      <c r="C536" s="54" t="s">
        <v>132</v>
      </c>
      <c r="D536" s="54" t="s">
        <v>4</v>
      </c>
      <c r="F536" s="55">
        <v>2</v>
      </c>
      <c r="K536" s="56"/>
    </row>
    <row r="537" spans="1:76" ht="14.4" x14ac:dyDescent="0.3">
      <c r="A537" s="1" t="s">
        <v>845</v>
      </c>
      <c r="B537" s="2" t="s">
        <v>846</v>
      </c>
      <c r="C537" s="75" t="s">
        <v>847</v>
      </c>
      <c r="D537" s="70"/>
      <c r="E537" s="2" t="s">
        <v>278</v>
      </c>
      <c r="F537" s="50">
        <v>1</v>
      </c>
      <c r="G537" s="50">
        <v>0</v>
      </c>
      <c r="H537" s="50">
        <f>ROUND(F537*AO537,2)</f>
        <v>0</v>
      </c>
      <c r="I537" s="50">
        <f>ROUND(F537*AP537,2)</f>
        <v>0</v>
      </c>
      <c r="J537" s="50">
        <f>ROUND(F537*G537,2)</f>
        <v>0</v>
      </c>
      <c r="K537" s="51" t="s">
        <v>116</v>
      </c>
      <c r="Z537" s="50">
        <f>ROUND(IF(AQ537="5",BJ537,0),2)</f>
        <v>0</v>
      </c>
      <c r="AB537" s="50">
        <f>ROUND(IF(AQ537="1",BH537,0),2)</f>
        <v>0</v>
      </c>
      <c r="AC537" s="50">
        <f>ROUND(IF(AQ537="1",BI537,0),2)</f>
        <v>0</v>
      </c>
      <c r="AD537" s="50">
        <f>ROUND(IF(AQ537="7",BH537,0),2)</f>
        <v>0</v>
      </c>
      <c r="AE537" s="50">
        <f>ROUND(IF(AQ537="7",BI537,0),2)</f>
        <v>0</v>
      </c>
      <c r="AF537" s="50">
        <f>ROUND(IF(AQ537="2",BH537,0),2)</f>
        <v>0</v>
      </c>
      <c r="AG537" s="50">
        <f>ROUND(IF(AQ537="2",BI537,0),2)</f>
        <v>0</v>
      </c>
      <c r="AH537" s="50">
        <f>ROUND(IF(AQ537="0",BJ537,0),2)</f>
        <v>0</v>
      </c>
      <c r="AI537" s="32" t="s">
        <v>4</v>
      </c>
      <c r="AJ537" s="50">
        <f>IF(AN537=0,J537,0)</f>
        <v>0</v>
      </c>
      <c r="AK537" s="50">
        <f>IF(AN537=12,J537,0)</f>
        <v>0</v>
      </c>
      <c r="AL537" s="50">
        <f>IF(AN537=21,J537,0)</f>
        <v>0</v>
      </c>
      <c r="AN537" s="50">
        <v>21</v>
      </c>
      <c r="AO537" s="50">
        <f>G537*0.698503975</f>
        <v>0</v>
      </c>
      <c r="AP537" s="50">
        <f>G537*(1-0.698503975)</f>
        <v>0</v>
      </c>
      <c r="AQ537" s="52" t="s">
        <v>158</v>
      </c>
      <c r="AV537" s="50">
        <f>ROUND(AW537+AX537,2)</f>
        <v>0</v>
      </c>
      <c r="AW537" s="50">
        <f>ROUND(F537*AO537,2)</f>
        <v>0</v>
      </c>
      <c r="AX537" s="50">
        <f>ROUND(F537*AP537,2)</f>
        <v>0</v>
      </c>
      <c r="AY537" s="52" t="s">
        <v>810</v>
      </c>
      <c r="AZ537" s="52" t="s">
        <v>749</v>
      </c>
      <c r="BA537" s="32" t="s">
        <v>119</v>
      </c>
      <c r="BC537" s="50">
        <f>AW537+AX537</f>
        <v>0</v>
      </c>
      <c r="BD537" s="50">
        <f>G537/(100-BE537)*100</f>
        <v>0</v>
      </c>
      <c r="BE537" s="50">
        <v>0</v>
      </c>
      <c r="BF537" s="50">
        <f>537</f>
        <v>537</v>
      </c>
      <c r="BH537" s="50">
        <f>F537*AO537</f>
        <v>0</v>
      </c>
      <c r="BI537" s="50">
        <f>F537*AP537</f>
        <v>0</v>
      </c>
      <c r="BJ537" s="50">
        <f>F537*G537</f>
        <v>0</v>
      </c>
      <c r="BK537" s="50"/>
      <c r="BL537" s="50">
        <v>722</v>
      </c>
      <c r="BW537" s="50">
        <v>21</v>
      </c>
      <c r="BX537" s="3" t="s">
        <v>847</v>
      </c>
    </row>
    <row r="538" spans="1:76" ht="14.4" x14ac:dyDescent="0.3">
      <c r="A538" s="53"/>
      <c r="C538" s="54" t="s">
        <v>112</v>
      </c>
      <c r="D538" s="54" t="s">
        <v>4</v>
      </c>
      <c r="F538" s="55">
        <v>1</v>
      </c>
      <c r="K538" s="56"/>
    </row>
    <row r="539" spans="1:76" ht="14.4" x14ac:dyDescent="0.3">
      <c r="A539" s="1" t="s">
        <v>848</v>
      </c>
      <c r="B539" s="2" t="s">
        <v>849</v>
      </c>
      <c r="C539" s="75" t="s">
        <v>850</v>
      </c>
      <c r="D539" s="70"/>
      <c r="E539" s="2" t="s">
        <v>278</v>
      </c>
      <c r="F539" s="50">
        <v>1</v>
      </c>
      <c r="G539" s="50">
        <v>0</v>
      </c>
      <c r="H539" s="50">
        <f>ROUND(F539*AO539,2)</f>
        <v>0</v>
      </c>
      <c r="I539" s="50">
        <f>ROUND(F539*AP539,2)</f>
        <v>0</v>
      </c>
      <c r="J539" s="50">
        <f>ROUND(F539*G539,2)</f>
        <v>0</v>
      </c>
      <c r="K539" s="51" t="s">
        <v>116</v>
      </c>
      <c r="Z539" s="50">
        <f>ROUND(IF(AQ539="5",BJ539,0),2)</f>
        <v>0</v>
      </c>
      <c r="AB539" s="50">
        <f>ROUND(IF(AQ539="1",BH539,0),2)</f>
        <v>0</v>
      </c>
      <c r="AC539" s="50">
        <f>ROUND(IF(AQ539="1",BI539,0),2)</f>
        <v>0</v>
      </c>
      <c r="AD539" s="50">
        <f>ROUND(IF(AQ539="7",BH539,0),2)</f>
        <v>0</v>
      </c>
      <c r="AE539" s="50">
        <f>ROUND(IF(AQ539="7",BI539,0),2)</f>
        <v>0</v>
      </c>
      <c r="AF539" s="50">
        <f>ROUND(IF(AQ539="2",BH539,0),2)</f>
        <v>0</v>
      </c>
      <c r="AG539" s="50">
        <f>ROUND(IF(AQ539="2",BI539,0),2)</f>
        <v>0</v>
      </c>
      <c r="AH539" s="50">
        <f>ROUND(IF(AQ539="0",BJ539,0),2)</f>
        <v>0</v>
      </c>
      <c r="AI539" s="32" t="s">
        <v>4</v>
      </c>
      <c r="AJ539" s="50">
        <f>IF(AN539=0,J539,0)</f>
        <v>0</v>
      </c>
      <c r="AK539" s="50">
        <f>IF(AN539=12,J539,0)</f>
        <v>0</v>
      </c>
      <c r="AL539" s="50">
        <f>IF(AN539=21,J539,0)</f>
        <v>0</v>
      </c>
      <c r="AN539" s="50">
        <v>21</v>
      </c>
      <c r="AO539" s="50">
        <f>G539*0.598829873</f>
        <v>0</v>
      </c>
      <c r="AP539" s="50">
        <f>G539*(1-0.598829873)</f>
        <v>0</v>
      </c>
      <c r="AQ539" s="52" t="s">
        <v>158</v>
      </c>
      <c r="AV539" s="50">
        <f>ROUND(AW539+AX539,2)</f>
        <v>0</v>
      </c>
      <c r="AW539" s="50">
        <f>ROUND(F539*AO539,2)</f>
        <v>0</v>
      </c>
      <c r="AX539" s="50">
        <f>ROUND(F539*AP539,2)</f>
        <v>0</v>
      </c>
      <c r="AY539" s="52" t="s">
        <v>810</v>
      </c>
      <c r="AZ539" s="52" t="s">
        <v>749</v>
      </c>
      <c r="BA539" s="32" t="s">
        <v>119</v>
      </c>
      <c r="BC539" s="50">
        <f>AW539+AX539</f>
        <v>0</v>
      </c>
      <c r="BD539" s="50">
        <f>G539/(100-BE539)*100</f>
        <v>0</v>
      </c>
      <c r="BE539" s="50">
        <v>0</v>
      </c>
      <c r="BF539" s="50">
        <f>539</f>
        <v>539</v>
      </c>
      <c r="BH539" s="50">
        <f>F539*AO539</f>
        <v>0</v>
      </c>
      <c r="BI539" s="50">
        <f>F539*AP539</f>
        <v>0</v>
      </c>
      <c r="BJ539" s="50">
        <f>F539*G539</f>
        <v>0</v>
      </c>
      <c r="BK539" s="50"/>
      <c r="BL539" s="50">
        <v>722</v>
      </c>
      <c r="BW539" s="50">
        <v>21</v>
      </c>
      <c r="BX539" s="3" t="s">
        <v>850</v>
      </c>
    </row>
    <row r="540" spans="1:76" ht="14.4" x14ac:dyDescent="0.3">
      <c r="A540" s="53"/>
      <c r="C540" s="54" t="s">
        <v>112</v>
      </c>
      <c r="D540" s="54" t="s">
        <v>4</v>
      </c>
      <c r="F540" s="55">
        <v>1</v>
      </c>
      <c r="K540" s="56"/>
    </row>
    <row r="541" spans="1:76" ht="14.4" x14ac:dyDescent="0.3">
      <c r="A541" s="1" t="s">
        <v>851</v>
      </c>
      <c r="B541" s="2" t="s">
        <v>852</v>
      </c>
      <c r="C541" s="75" t="s">
        <v>853</v>
      </c>
      <c r="D541" s="70"/>
      <c r="E541" s="2" t="s">
        <v>278</v>
      </c>
      <c r="F541" s="50">
        <v>1</v>
      </c>
      <c r="G541" s="50">
        <v>0</v>
      </c>
      <c r="H541" s="50">
        <f>ROUND(F541*AO541,2)</f>
        <v>0</v>
      </c>
      <c r="I541" s="50">
        <f>ROUND(F541*AP541,2)</f>
        <v>0</v>
      </c>
      <c r="J541" s="50">
        <f>ROUND(F541*G541,2)</f>
        <v>0</v>
      </c>
      <c r="K541" s="51" t="s">
        <v>116</v>
      </c>
      <c r="Z541" s="50">
        <f>ROUND(IF(AQ541="5",BJ541,0),2)</f>
        <v>0</v>
      </c>
      <c r="AB541" s="50">
        <f>ROUND(IF(AQ541="1",BH541,0),2)</f>
        <v>0</v>
      </c>
      <c r="AC541" s="50">
        <f>ROUND(IF(AQ541="1",BI541,0),2)</f>
        <v>0</v>
      </c>
      <c r="AD541" s="50">
        <f>ROUND(IF(AQ541="7",BH541,0),2)</f>
        <v>0</v>
      </c>
      <c r="AE541" s="50">
        <f>ROUND(IF(AQ541="7",BI541,0),2)</f>
        <v>0</v>
      </c>
      <c r="AF541" s="50">
        <f>ROUND(IF(AQ541="2",BH541,0),2)</f>
        <v>0</v>
      </c>
      <c r="AG541" s="50">
        <f>ROUND(IF(AQ541="2",BI541,0),2)</f>
        <v>0</v>
      </c>
      <c r="AH541" s="50">
        <f>ROUND(IF(AQ541="0",BJ541,0),2)</f>
        <v>0</v>
      </c>
      <c r="AI541" s="32" t="s">
        <v>4</v>
      </c>
      <c r="AJ541" s="50">
        <f>IF(AN541=0,J541,0)</f>
        <v>0</v>
      </c>
      <c r="AK541" s="50">
        <f>IF(AN541=12,J541,0)</f>
        <v>0</v>
      </c>
      <c r="AL541" s="50">
        <f>IF(AN541=21,J541,0)</f>
        <v>0</v>
      </c>
      <c r="AN541" s="50">
        <v>21</v>
      </c>
      <c r="AO541" s="50">
        <f>G541*0.954854048</f>
        <v>0</v>
      </c>
      <c r="AP541" s="50">
        <f>G541*(1-0.954854048)</f>
        <v>0</v>
      </c>
      <c r="AQ541" s="52" t="s">
        <v>158</v>
      </c>
      <c r="AV541" s="50">
        <f>ROUND(AW541+AX541,2)</f>
        <v>0</v>
      </c>
      <c r="AW541" s="50">
        <f>ROUND(F541*AO541,2)</f>
        <v>0</v>
      </c>
      <c r="AX541" s="50">
        <f>ROUND(F541*AP541,2)</f>
        <v>0</v>
      </c>
      <c r="AY541" s="52" t="s">
        <v>810</v>
      </c>
      <c r="AZ541" s="52" t="s">
        <v>749</v>
      </c>
      <c r="BA541" s="32" t="s">
        <v>119</v>
      </c>
      <c r="BC541" s="50">
        <f>AW541+AX541</f>
        <v>0</v>
      </c>
      <c r="BD541" s="50">
        <f>G541/(100-BE541)*100</f>
        <v>0</v>
      </c>
      <c r="BE541" s="50">
        <v>0</v>
      </c>
      <c r="BF541" s="50">
        <f>541</f>
        <v>541</v>
      </c>
      <c r="BH541" s="50">
        <f>F541*AO541</f>
        <v>0</v>
      </c>
      <c r="BI541" s="50">
        <f>F541*AP541</f>
        <v>0</v>
      </c>
      <c r="BJ541" s="50">
        <f>F541*G541</f>
        <v>0</v>
      </c>
      <c r="BK541" s="50"/>
      <c r="BL541" s="50">
        <v>722</v>
      </c>
      <c r="BW541" s="50">
        <v>21</v>
      </c>
      <c r="BX541" s="3" t="s">
        <v>853</v>
      </c>
    </row>
    <row r="542" spans="1:76" ht="14.4" x14ac:dyDescent="0.3">
      <c r="A542" s="53"/>
      <c r="C542" s="54" t="s">
        <v>112</v>
      </c>
      <c r="D542" s="54" t="s">
        <v>4</v>
      </c>
      <c r="F542" s="55">
        <v>1</v>
      </c>
      <c r="K542" s="56"/>
    </row>
    <row r="543" spans="1:76" ht="14.4" x14ac:dyDescent="0.3">
      <c r="A543" s="1" t="s">
        <v>854</v>
      </c>
      <c r="B543" s="2" t="s">
        <v>855</v>
      </c>
      <c r="C543" s="75" t="s">
        <v>856</v>
      </c>
      <c r="D543" s="70"/>
      <c r="E543" s="2" t="s">
        <v>278</v>
      </c>
      <c r="F543" s="50">
        <v>1</v>
      </c>
      <c r="G543" s="50">
        <v>0</v>
      </c>
      <c r="H543" s="50">
        <f>ROUND(F543*AO543,2)</f>
        <v>0</v>
      </c>
      <c r="I543" s="50">
        <f>ROUND(F543*AP543,2)</f>
        <v>0</v>
      </c>
      <c r="J543" s="50">
        <f>ROUND(F543*G543,2)</f>
        <v>0</v>
      </c>
      <c r="K543" s="51" t="s">
        <v>116</v>
      </c>
      <c r="Z543" s="50">
        <f>ROUND(IF(AQ543="5",BJ543,0),2)</f>
        <v>0</v>
      </c>
      <c r="AB543" s="50">
        <f>ROUND(IF(AQ543="1",BH543,0),2)</f>
        <v>0</v>
      </c>
      <c r="AC543" s="50">
        <f>ROUND(IF(AQ543="1",BI543,0),2)</f>
        <v>0</v>
      </c>
      <c r="AD543" s="50">
        <f>ROUND(IF(AQ543="7",BH543,0),2)</f>
        <v>0</v>
      </c>
      <c r="AE543" s="50">
        <f>ROUND(IF(AQ543="7",BI543,0),2)</f>
        <v>0</v>
      </c>
      <c r="AF543" s="50">
        <f>ROUND(IF(AQ543="2",BH543,0),2)</f>
        <v>0</v>
      </c>
      <c r="AG543" s="50">
        <f>ROUND(IF(AQ543="2",BI543,0),2)</f>
        <v>0</v>
      </c>
      <c r="AH543" s="50">
        <f>ROUND(IF(AQ543="0",BJ543,0),2)</f>
        <v>0</v>
      </c>
      <c r="AI543" s="32" t="s">
        <v>4</v>
      </c>
      <c r="AJ543" s="50">
        <f>IF(AN543=0,J543,0)</f>
        <v>0</v>
      </c>
      <c r="AK543" s="50">
        <f>IF(AN543=12,J543,0)</f>
        <v>0</v>
      </c>
      <c r="AL543" s="50">
        <f>IF(AN543=21,J543,0)</f>
        <v>0</v>
      </c>
      <c r="AN543" s="50">
        <v>21</v>
      </c>
      <c r="AO543" s="50">
        <f>G543*0.05627451</f>
        <v>0</v>
      </c>
      <c r="AP543" s="50">
        <f>G543*(1-0.05627451)</f>
        <v>0</v>
      </c>
      <c r="AQ543" s="52" t="s">
        <v>158</v>
      </c>
      <c r="AV543" s="50">
        <f>ROUND(AW543+AX543,2)</f>
        <v>0</v>
      </c>
      <c r="AW543" s="50">
        <f>ROUND(F543*AO543,2)</f>
        <v>0</v>
      </c>
      <c r="AX543" s="50">
        <f>ROUND(F543*AP543,2)</f>
        <v>0</v>
      </c>
      <c r="AY543" s="52" t="s">
        <v>810</v>
      </c>
      <c r="AZ543" s="52" t="s">
        <v>749</v>
      </c>
      <c r="BA543" s="32" t="s">
        <v>119</v>
      </c>
      <c r="BC543" s="50">
        <f>AW543+AX543</f>
        <v>0</v>
      </c>
      <c r="BD543" s="50">
        <f>G543/(100-BE543)*100</f>
        <v>0</v>
      </c>
      <c r="BE543" s="50">
        <v>0</v>
      </c>
      <c r="BF543" s="50">
        <f>543</f>
        <v>543</v>
      </c>
      <c r="BH543" s="50">
        <f>F543*AO543</f>
        <v>0</v>
      </c>
      <c r="BI543" s="50">
        <f>F543*AP543</f>
        <v>0</v>
      </c>
      <c r="BJ543" s="50">
        <f>F543*G543</f>
        <v>0</v>
      </c>
      <c r="BK543" s="50"/>
      <c r="BL543" s="50">
        <v>722</v>
      </c>
      <c r="BW543" s="50">
        <v>21</v>
      </c>
      <c r="BX543" s="3" t="s">
        <v>856</v>
      </c>
    </row>
    <row r="544" spans="1:76" ht="14.4" x14ac:dyDescent="0.3">
      <c r="A544" s="53"/>
      <c r="C544" s="54" t="s">
        <v>112</v>
      </c>
      <c r="D544" s="54" t="s">
        <v>4</v>
      </c>
      <c r="F544" s="55">
        <v>1</v>
      </c>
      <c r="K544" s="56"/>
    </row>
    <row r="545" spans="1:76" ht="14.4" x14ac:dyDescent="0.3">
      <c r="A545" s="1" t="s">
        <v>857</v>
      </c>
      <c r="B545" s="2" t="s">
        <v>858</v>
      </c>
      <c r="C545" s="75" t="s">
        <v>859</v>
      </c>
      <c r="D545" s="70"/>
      <c r="E545" s="2" t="s">
        <v>278</v>
      </c>
      <c r="F545" s="50">
        <v>1</v>
      </c>
      <c r="G545" s="50">
        <v>0</v>
      </c>
      <c r="H545" s="50">
        <f>ROUND(F545*AO545,2)</f>
        <v>0</v>
      </c>
      <c r="I545" s="50">
        <f>ROUND(F545*AP545,2)</f>
        <v>0</v>
      </c>
      <c r="J545" s="50">
        <f>ROUND(F545*G545,2)</f>
        <v>0</v>
      </c>
      <c r="K545" s="51" t="s">
        <v>116</v>
      </c>
      <c r="Z545" s="50">
        <f>ROUND(IF(AQ545="5",BJ545,0),2)</f>
        <v>0</v>
      </c>
      <c r="AB545" s="50">
        <f>ROUND(IF(AQ545="1",BH545,0),2)</f>
        <v>0</v>
      </c>
      <c r="AC545" s="50">
        <f>ROUND(IF(AQ545="1",BI545,0),2)</f>
        <v>0</v>
      </c>
      <c r="AD545" s="50">
        <f>ROUND(IF(AQ545="7",BH545,0),2)</f>
        <v>0</v>
      </c>
      <c r="AE545" s="50">
        <f>ROUND(IF(AQ545="7",BI545,0),2)</f>
        <v>0</v>
      </c>
      <c r="AF545" s="50">
        <f>ROUND(IF(AQ545="2",BH545,0),2)</f>
        <v>0</v>
      </c>
      <c r="AG545" s="50">
        <f>ROUND(IF(AQ545="2",BI545,0),2)</f>
        <v>0</v>
      </c>
      <c r="AH545" s="50">
        <f>ROUND(IF(AQ545="0",BJ545,0),2)</f>
        <v>0</v>
      </c>
      <c r="AI545" s="32" t="s">
        <v>4</v>
      </c>
      <c r="AJ545" s="50">
        <f>IF(AN545=0,J545,0)</f>
        <v>0</v>
      </c>
      <c r="AK545" s="50">
        <f>IF(AN545=12,J545,0)</f>
        <v>0</v>
      </c>
      <c r="AL545" s="50">
        <f>IF(AN545=21,J545,0)</f>
        <v>0</v>
      </c>
      <c r="AN545" s="50">
        <v>21</v>
      </c>
      <c r="AO545" s="50">
        <f>G545*1</f>
        <v>0</v>
      </c>
      <c r="AP545" s="50">
        <f>G545*(1-1)</f>
        <v>0</v>
      </c>
      <c r="AQ545" s="52" t="s">
        <v>158</v>
      </c>
      <c r="AV545" s="50">
        <f>ROUND(AW545+AX545,2)</f>
        <v>0</v>
      </c>
      <c r="AW545" s="50">
        <f>ROUND(F545*AO545,2)</f>
        <v>0</v>
      </c>
      <c r="AX545" s="50">
        <f>ROUND(F545*AP545,2)</f>
        <v>0</v>
      </c>
      <c r="AY545" s="52" t="s">
        <v>810</v>
      </c>
      <c r="AZ545" s="52" t="s">
        <v>749</v>
      </c>
      <c r="BA545" s="32" t="s">
        <v>119</v>
      </c>
      <c r="BC545" s="50">
        <f>AW545+AX545</f>
        <v>0</v>
      </c>
      <c r="BD545" s="50">
        <f>G545/(100-BE545)*100</f>
        <v>0</v>
      </c>
      <c r="BE545" s="50">
        <v>0</v>
      </c>
      <c r="BF545" s="50">
        <f>545</f>
        <v>545</v>
      </c>
      <c r="BH545" s="50">
        <f>F545*AO545</f>
        <v>0</v>
      </c>
      <c r="BI545" s="50">
        <f>F545*AP545</f>
        <v>0</v>
      </c>
      <c r="BJ545" s="50">
        <f>F545*G545</f>
        <v>0</v>
      </c>
      <c r="BK545" s="50"/>
      <c r="BL545" s="50">
        <v>722</v>
      </c>
      <c r="BW545" s="50">
        <v>21</v>
      </c>
      <c r="BX545" s="3" t="s">
        <v>859</v>
      </c>
    </row>
    <row r="546" spans="1:76" ht="14.4" x14ac:dyDescent="0.3">
      <c r="A546" s="53"/>
      <c r="C546" s="54" t="s">
        <v>112</v>
      </c>
      <c r="D546" s="54" t="s">
        <v>4</v>
      </c>
      <c r="F546" s="55">
        <v>1</v>
      </c>
      <c r="K546" s="56"/>
    </row>
    <row r="547" spans="1:76" ht="14.4" x14ac:dyDescent="0.3">
      <c r="A547" s="1" t="s">
        <v>860</v>
      </c>
      <c r="B547" s="2" t="s">
        <v>861</v>
      </c>
      <c r="C547" s="75" t="s">
        <v>862</v>
      </c>
      <c r="D547" s="70"/>
      <c r="E547" s="2" t="s">
        <v>278</v>
      </c>
      <c r="F547" s="50">
        <v>1</v>
      </c>
      <c r="G547" s="50">
        <v>0</v>
      </c>
      <c r="H547" s="50">
        <f>ROUND(F547*AO547,2)</f>
        <v>0</v>
      </c>
      <c r="I547" s="50">
        <f>ROUND(F547*AP547,2)</f>
        <v>0</v>
      </c>
      <c r="J547" s="50">
        <f>ROUND(F547*G547,2)</f>
        <v>0</v>
      </c>
      <c r="K547" s="51" t="s">
        <v>116</v>
      </c>
      <c r="Z547" s="50">
        <f>ROUND(IF(AQ547="5",BJ547,0),2)</f>
        <v>0</v>
      </c>
      <c r="AB547" s="50">
        <f>ROUND(IF(AQ547="1",BH547,0),2)</f>
        <v>0</v>
      </c>
      <c r="AC547" s="50">
        <f>ROUND(IF(AQ547="1",BI547,0),2)</f>
        <v>0</v>
      </c>
      <c r="AD547" s="50">
        <f>ROUND(IF(AQ547="7",BH547,0),2)</f>
        <v>0</v>
      </c>
      <c r="AE547" s="50">
        <f>ROUND(IF(AQ547="7",BI547,0),2)</f>
        <v>0</v>
      </c>
      <c r="AF547" s="50">
        <f>ROUND(IF(AQ547="2",BH547,0),2)</f>
        <v>0</v>
      </c>
      <c r="AG547" s="50">
        <f>ROUND(IF(AQ547="2",BI547,0),2)</f>
        <v>0</v>
      </c>
      <c r="AH547" s="50">
        <f>ROUND(IF(AQ547="0",BJ547,0),2)</f>
        <v>0</v>
      </c>
      <c r="AI547" s="32" t="s">
        <v>4</v>
      </c>
      <c r="AJ547" s="50">
        <f>IF(AN547=0,J547,0)</f>
        <v>0</v>
      </c>
      <c r="AK547" s="50">
        <f>IF(AN547=12,J547,0)</f>
        <v>0</v>
      </c>
      <c r="AL547" s="50">
        <f>IF(AN547=21,J547,0)</f>
        <v>0</v>
      </c>
      <c r="AN547" s="50">
        <v>21</v>
      </c>
      <c r="AO547" s="50">
        <f>G547*0.367277273</f>
        <v>0</v>
      </c>
      <c r="AP547" s="50">
        <f>G547*(1-0.367277273)</f>
        <v>0</v>
      </c>
      <c r="AQ547" s="52" t="s">
        <v>158</v>
      </c>
      <c r="AV547" s="50">
        <f>ROUND(AW547+AX547,2)</f>
        <v>0</v>
      </c>
      <c r="AW547" s="50">
        <f>ROUND(F547*AO547,2)</f>
        <v>0</v>
      </c>
      <c r="AX547" s="50">
        <f>ROUND(F547*AP547,2)</f>
        <v>0</v>
      </c>
      <c r="AY547" s="52" t="s">
        <v>810</v>
      </c>
      <c r="AZ547" s="52" t="s">
        <v>749</v>
      </c>
      <c r="BA547" s="32" t="s">
        <v>119</v>
      </c>
      <c r="BC547" s="50">
        <f>AW547+AX547</f>
        <v>0</v>
      </c>
      <c r="BD547" s="50">
        <f>G547/(100-BE547)*100</f>
        <v>0</v>
      </c>
      <c r="BE547" s="50">
        <v>0</v>
      </c>
      <c r="BF547" s="50">
        <f>547</f>
        <v>547</v>
      </c>
      <c r="BH547" s="50">
        <f>F547*AO547</f>
        <v>0</v>
      </c>
      <c r="BI547" s="50">
        <f>F547*AP547</f>
        <v>0</v>
      </c>
      <c r="BJ547" s="50">
        <f>F547*G547</f>
        <v>0</v>
      </c>
      <c r="BK547" s="50"/>
      <c r="BL547" s="50">
        <v>722</v>
      </c>
      <c r="BW547" s="50">
        <v>21</v>
      </c>
      <c r="BX547" s="3" t="s">
        <v>862</v>
      </c>
    </row>
    <row r="548" spans="1:76" ht="14.4" x14ac:dyDescent="0.3">
      <c r="A548" s="53"/>
      <c r="C548" s="54" t="s">
        <v>112</v>
      </c>
      <c r="D548" s="54" t="s">
        <v>4</v>
      </c>
      <c r="F548" s="55">
        <v>1</v>
      </c>
      <c r="K548" s="56"/>
    </row>
    <row r="549" spans="1:76" ht="14.4" x14ac:dyDescent="0.3">
      <c r="A549" s="1" t="s">
        <v>863</v>
      </c>
      <c r="B549" s="2" t="s">
        <v>864</v>
      </c>
      <c r="C549" s="75" t="s">
        <v>865</v>
      </c>
      <c r="D549" s="70"/>
      <c r="E549" s="2" t="s">
        <v>278</v>
      </c>
      <c r="F549" s="50">
        <v>1</v>
      </c>
      <c r="G549" s="50">
        <v>0</v>
      </c>
      <c r="H549" s="50">
        <f>ROUND(F549*AO549,2)</f>
        <v>0</v>
      </c>
      <c r="I549" s="50">
        <f>ROUND(F549*AP549,2)</f>
        <v>0</v>
      </c>
      <c r="J549" s="50">
        <f>ROUND(F549*G549,2)</f>
        <v>0</v>
      </c>
      <c r="K549" s="51" t="s">
        <v>116</v>
      </c>
      <c r="Z549" s="50">
        <f>ROUND(IF(AQ549="5",BJ549,0),2)</f>
        <v>0</v>
      </c>
      <c r="AB549" s="50">
        <f>ROUND(IF(AQ549="1",BH549,0),2)</f>
        <v>0</v>
      </c>
      <c r="AC549" s="50">
        <f>ROUND(IF(AQ549="1",BI549,0),2)</f>
        <v>0</v>
      </c>
      <c r="AD549" s="50">
        <f>ROUND(IF(AQ549="7",BH549,0),2)</f>
        <v>0</v>
      </c>
      <c r="AE549" s="50">
        <f>ROUND(IF(AQ549="7",BI549,0),2)</f>
        <v>0</v>
      </c>
      <c r="AF549" s="50">
        <f>ROUND(IF(AQ549="2",BH549,0),2)</f>
        <v>0</v>
      </c>
      <c r="AG549" s="50">
        <f>ROUND(IF(AQ549="2",BI549,0),2)</f>
        <v>0</v>
      </c>
      <c r="AH549" s="50">
        <f>ROUND(IF(AQ549="0",BJ549,0),2)</f>
        <v>0</v>
      </c>
      <c r="AI549" s="32" t="s">
        <v>4</v>
      </c>
      <c r="AJ549" s="50">
        <f>IF(AN549=0,J549,0)</f>
        <v>0</v>
      </c>
      <c r="AK549" s="50">
        <f>IF(AN549=12,J549,0)</f>
        <v>0</v>
      </c>
      <c r="AL549" s="50">
        <f>IF(AN549=21,J549,0)</f>
        <v>0</v>
      </c>
      <c r="AN549" s="50">
        <v>21</v>
      </c>
      <c r="AO549" s="50">
        <f>G549*1</f>
        <v>0</v>
      </c>
      <c r="AP549" s="50">
        <f>G549*(1-1)</f>
        <v>0</v>
      </c>
      <c r="AQ549" s="52" t="s">
        <v>158</v>
      </c>
      <c r="AV549" s="50">
        <f>ROUND(AW549+AX549,2)</f>
        <v>0</v>
      </c>
      <c r="AW549" s="50">
        <f>ROUND(F549*AO549,2)</f>
        <v>0</v>
      </c>
      <c r="AX549" s="50">
        <f>ROUND(F549*AP549,2)</f>
        <v>0</v>
      </c>
      <c r="AY549" s="52" t="s">
        <v>810</v>
      </c>
      <c r="AZ549" s="52" t="s">
        <v>749</v>
      </c>
      <c r="BA549" s="32" t="s">
        <v>119</v>
      </c>
      <c r="BC549" s="50">
        <f>AW549+AX549</f>
        <v>0</v>
      </c>
      <c r="BD549" s="50">
        <f>G549/(100-BE549)*100</f>
        <v>0</v>
      </c>
      <c r="BE549" s="50">
        <v>0</v>
      </c>
      <c r="BF549" s="50">
        <f>549</f>
        <v>549</v>
      </c>
      <c r="BH549" s="50">
        <f>F549*AO549</f>
        <v>0</v>
      </c>
      <c r="BI549" s="50">
        <f>F549*AP549</f>
        <v>0</v>
      </c>
      <c r="BJ549" s="50">
        <f>F549*G549</f>
        <v>0</v>
      </c>
      <c r="BK549" s="50"/>
      <c r="BL549" s="50">
        <v>722</v>
      </c>
      <c r="BW549" s="50">
        <v>21</v>
      </c>
      <c r="BX549" s="3" t="s">
        <v>865</v>
      </c>
    </row>
    <row r="550" spans="1:76" ht="14.4" x14ac:dyDescent="0.3">
      <c r="A550" s="53"/>
      <c r="C550" s="54" t="s">
        <v>112</v>
      </c>
      <c r="D550" s="54" t="s">
        <v>4</v>
      </c>
      <c r="F550" s="55">
        <v>1</v>
      </c>
      <c r="K550" s="56"/>
    </row>
    <row r="551" spans="1:76" ht="14.4" x14ac:dyDescent="0.3">
      <c r="A551" s="1" t="s">
        <v>866</v>
      </c>
      <c r="B551" s="2" t="s">
        <v>867</v>
      </c>
      <c r="C551" s="75" t="s">
        <v>868</v>
      </c>
      <c r="D551" s="70"/>
      <c r="E551" s="2" t="s">
        <v>173</v>
      </c>
      <c r="F551" s="50">
        <v>0.25294</v>
      </c>
      <c r="G551" s="50">
        <v>0</v>
      </c>
      <c r="H551" s="50">
        <f>ROUND(F551*AO551,2)</f>
        <v>0</v>
      </c>
      <c r="I551" s="50">
        <f>ROUND(F551*AP551,2)</f>
        <v>0</v>
      </c>
      <c r="J551" s="50">
        <f>ROUND(F551*G551,2)</f>
        <v>0</v>
      </c>
      <c r="K551" s="51" t="s">
        <v>116</v>
      </c>
      <c r="Z551" s="50">
        <f>ROUND(IF(AQ551="5",BJ551,0),2)</f>
        <v>0</v>
      </c>
      <c r="AB551" s="50">
        <f>ROUND(IF(AQ551="1",BH551,0),2)</f>
        <v>0</v>
      </c>
      <c r="AC551" s="50">
        <f>ROUND(IF(AQ551="1",BI551,0),2)</f>
        <v>0</v>
      </c>
      <c r="AD551" s="50">
        <f>ROUND(IF(AQ551="7",BH551,0),2)</f>
        <v>0</v>
      </c>
      <c r="AE551" s="50">
        <f>ROUND(IF(AQ551="7",BI551,0),2)</f>
        <v>0</v>
      </c>
      <c r="AF551" s="50">
        <f>ROUND(IF(AQ551="2",BH551,0),2)</f>
        <v>0</v>
      </c>
      <c r="AG551" s="50">
        <f>ROUND(IF(AQ551="2",BI551,0),2)</f>
        <v>0</v>
      </c>
      <c r="AH551" s="50">
        <f>ROUND(IF(AQ551="0",BJ551,0),2)</f>
        <v>0</v>
      </c>
      <c r="AI551" s="32" t="s">
        <v>4</v>
      </c>
      <c r="AJ551" s="50">
        <f>IF(AN551=0,J551,0)</f>
        <v>0</v>
      </c>
      <c r="AK551" s="50">
        <f>IF(AN551=12,J551,0)</f>
        <v>0</v>
      </c>
      <c r="AL551" s="50">
        <f>IF(AN551=21,J551,0)</f>
        <v>0</v>
      </c>
      <c r="AN551" s="50">
        <v>21</v>
      </c>
      <c r="AO551" s="50">
        <f>G551*0</f>
        <v>0</v>
      </c>
      <c r="AP551" s="50">
        <f>G551*(1-0)</f>
        <v>0</v>
      </c>
      <c r="AQ551" s="52" t="s">
        <v>147</v>
      </c>
      <c r="AV551" s="50">
        <f>ROUND(AW551+AX551,2)</f>
        <v>0</v>
      </c>
      <c r="AW551" s="50">
        <f>ROUND(F551*AO551,2)</f>
        <v>0</v>
      </c>
      <c r="AX551" s="50">
        <f>ROUND(F551*AP551,2)</f>
        <v>0</v>
      </c>
      <c r="AY551" s="52" t="s">
        <v>810</v>
      </c>
      <c r="AZ551" s="52" t="s">
        <v>749</v>
      </c>
      <c r="BA551" s="32" t="s">
        <v>119</v>
      </c>
      <c r="BC551" s="50">
        <f>AW551+AX551</f>
        <v>0</v>
      </c>
      <c r="BD551" s="50">
        <f>G551/(100-BE551)*100</f>
        <v>0</v>
      </c>
      <c r="BE551" s="50">
        <v>0</v>
      </c>
      <c r="BF551" s="50">
        <f>551</f>
        <v>551</v>
      </c>
      <c r="BH551" s="50">
        <f>F551*AO551</f>
        <v>0</v>
      </c>
      <c r="BI551" s="50">
        <f>F551*AP551</f>
        <v>0</v>
      </c>
      <c r="BJ551" s="50">
        <f>F551*G551</f>
        <v>0</v>
      </c>
      <c r="BK551" s="50"/>
      <c r="BL551" s="50">
        <v>722</v>
      </c>
      <c r="BW551" s="50">
        <v>21</v>
      </c>
      <c r="BX551" s="3" t="s">
        <v>868</v>
      </c>
    </row>
    <row r="552" spans="1:76" ht="14.4" x14ac:dyDescent="0.3">
      <c r="A552" s="46" t="s">
        <v>4</v>
      </c>
      <c r="B552" s="47" t="s">
        <v>869</v>
      </c>
      <c r="C552" s="148" t="s">
        <v>870</v>
      </c>
      <c r="D552" s="149"/>
      <c r="E552" s="48" t="s">
        <v>74</v>
      </c>
      <c r="F552" s="48" t="s">
        <v>74</v>
      </c>
      <c r="G552" s="48" t="s">
        <v>74</v>
      </c>
      <c r="H552" s="26">
        <f>SUM(H553:H597)</f>
        <v>0</v>
      </c>
      <c r="I552" s="26">
        <f>SUM(I553:I597)</f>
        <v>0</v>
      </c>
      <c r="J552" s="26">
        <f>SUM(J553:J597)</f>
        <v>0</v>
      </c>
      <c r="K552" s="49" t="s">
        <v>4</v>
      </c>
      <c r="AI552" s="32" t="s">
        <v>4</v>
      </c>
      <c r="AS552" s="26">
        <f>SUM(AJ553:AJ597)</f>
        <v>0</v>
      </c>
      <c r="AT552" s="26">
        <f>SUM(AK553:AK597)</f>
        <v>0</v>
      </c>
      <c r="AU552" s="26">
        <f>SUM(AL553:AL597)</f>
        <v>0</v>
      </c>
    </row>
    <row r="553" spans="1:76" ht="14.4" x14ac:dyDescent="0.3">
      <c r="A553" s="1" t="s">
        <v>871</v>
      </c>
      <c r="B553" s="2" t="s">
        <v>872</v>
      </c>
      <c r="C553" s="75" t="s">
        <v>873</v>
      </c>
      <c r="D553" s="70"/>
      <c r="E553" s="2" t="s">
        <v>874</v>
      </c>
      <c r="F553" s="50">
        <v>4</v>
      </c>
      <c r="G553" s="50">
        <v>0</v>
      </c>
      <c r="H553" s="50">
        <f>ROUND(F553*AO553,2)</f>
        <v>0</v>
      </c>
      <c r="I553" s="50">
        <f>ROUND(F553*AP553,2)</f>
        <v>0</v>
      </c>
      <c r="J553" s="50">
        <f>ROUND(F553*G553,2)</f>
        <v>0</v>
      </c>
      <c r="K553" s="51" t="s">
        <v>116</v>
      </c>
      <c r="Z553" s="50">
        <f>ROUND(IF(AQ553="5",BJ553,0),2)</f>
        <v>0</v>
      </c>
      <c r="AB553" s="50">
        <f>ROUND(IF(AQ553="1",BH553,0),2)</f>
        <v>0</v>
      </c>
      <c r="AC553" s="50">
        <f>ROUND(IF(AQ553="1",BI553,0),2)</f>
        <v>0</v>
      </c>
      <c r="AD553" s="50">
        <f>ROUND(IF(AQ553="7",BH553,0),2)</f>
        <v>0</v>
      </c>
      <c r="AE553" s="50">
        <f>ROUND(IF(AQ553="7",BI553,0),2)</f>
        <v>0</v>
      </c>
      <c r="AF553" s="50">
        <f>ROUND(IF(AQ553="2",BH553,0),2)</f>
        <v>0</v>
      </c>
      <c r="AG553" s="50">
        <f>ROUND(IF(AQ553="2",BI553,0),2)</f>
        <v>0</v>
      </c>
      <c r="AH553" s="50">
        <f>ROUND(IF(AQ553="0",BJ553,0),2)</f>
        <v>0</v>
      </c>
      <c r="AI553" s="32" t="s">
        <v>4</v>
      </c>
      <c r="AJ553" s="50">
        <f>IF(AN553=0,J553,0)</f>
        <v>0</v>
      </c>
      <c r="AK553" s="50">
        <f>IF(AN553=12,J553,0)</f>
        <v>0</v>
      </c>
      <c r="AL553" s="50">
        <f>IF(AN553=21,J553,0)</f>
        <v>0</v>
      </c>
      <c r="AN553" s="50">
        <v>21</v>
      </c>
      <c r="AO553" s="50">
        <f>G553*0.832408521</f>
        <v>0</v>
      </c>
      <c r="AP553" s="50">
        <f>G553*(1-0.832408521)</f>
        <v>0</v>
      </c>
      <c r="AQ553" s="52" t="s">
        <v>158</v>
      </c>
      <c r="AV553" s="50">
        <f>ROUND(AW553+AX553,2)</f>
        <v>0</v>
      </c>
      <c r="AW553" s="50">
        <f>ROUND(F553*AO553,2)</f>
        <v>0</v>
      </c>
      <c r="AX553" s="50">
        <f>ROUND(F553*AP553,2)</f>
        <v>0</v>
      </c>
      <c r="AY553" s="52" t="s">
        <v>875</v>
      </c>
      <c r="AZ553" s="52" t="s">
        <v>749</v>
      </c>
      <c r="BA553" s="32" t="s">
        <v>119</v>
      </c>
      <c r="BC553" s="50">
        <f>AW553+AX553</f>
        <v>0</v>
      </c>
      <c r="BD553" s="50">
        <f>G553/(100-BE553)*100</f>
        <v>0</v>
      </c>
      <c r="BE553" s="50">
        <v>0</v>
      </c>
      <c r="BF553" s="50">
        <f>553</f>
        <v>553</v>
      </c>
      <c r="BH553" s="50">
        <f>F553*AO553</f>
        <v>0</v>
      </c>
      <c r="BI553" s="50">
        <f>F553*AP553</f>
        <v>0</v>
      </c>
      <c r="BJ553" s="50">
        <f>F553*G553</f>
        <v>0</v>
      </c>
      <c r="BK553" s="50"/>
      <c r="BL553" s="50">
        <v>725</v>
      </c>
      <c r="BW553" s="50">
        <v>21</v>
      </c>
      <c r="BX553" s="3" t="s">
        <v>873</v>
      </c>
    </row>
    <row r="554" spans="1:76" ht="14.4" x14ac:dyDescent="0.3">
      <c r="A554" s="53"/>
      <c r="C554" s="54" t="s">
        <v>140</v>
      </c>
      <c r="D554" s="54" t="s">
        <v>4</v>
      </c>
      <c r="F554" s="55">
        <v>4</v>
      </c>
      <c r="K554" s="56"/>
    </row>
    <row r="555" spans="1:76" ht="14.4" x14ac:dyDescent="0.3">
      <c r="A555" s="1" t="s">
        <v>876</v>
      </c>
      <c r="B555" s="2" t="s">
        <v>877</v>
      </c>
      <c r="C555" s="75" t="s">
        <v>878</v>
      </c>
      <c r="D555" s="70"/>
      <c r="E555" s="2" t="s">
        <v>874</v>
      </c>
      <c r="F555" s="50">
        <v>4</v>
      </c>
      <c r="G555" s="50">
        <v>0</v>
      </c>
      <c r="H555" s="50">
        <f>ROUND(F555*AO555,2)</f>
        <v>0</v>
      </c>
      <c r="I555" s="50">
        <f>ROUND(F555*AP555,2)</f>
        <v>0</v>
      </c>
      <c r="J555" s="50">
        <f>ROUND(F555*G555,2)</f>
        <v>0</v>
      </c>
      <c r="K555" s="51" t="s">
        <v>116</v>
      </c>
      <c r="Z555" s="50">
        <f>ROUND(IF(AQ555="5",BJ555,0),2)</f>
        <v>0</v>
      </c>
      <c r="AB555" s="50">
        <f>ROUND(IF(AQ555="1",BH555,0),2)</f>
        <v>0</v>
      </c>
      <c r="AC555" s="50">
        <f>ROUND(IF(AQ555="1",BI555,0),2)</f>
        <v>0</v>
      </c>
      <c r="AD555" s="50">
        <f>ROUND(IF(AQ555="7",BH555,0),2)</f>
        <v>0</v>
      </c>
      <c r="AE555" s="50">
        <f>ROUND(IF(AQ555="7",BI555,0),2)</f>
        <v>0</v>
      </c>
      <c r="AF555" s="50">
        <f>ROUND(IF(AQ555="2",BH555,0),2)</f>
        <v>0</v>
      </c>
      <c r="AG555" s="50">
        <f>ROUND(IF(AQ555="2",BI555,0),2)</f>
        <v>0</v>
      </c>
      <c r="AH555" s="50">
        <f>ROUND(IF(AQ555="0",BJ555,0),2)</f>
        <v>0</v>
      </c>
      <c r="AI555" s="32" t="s">
        <v>4</v>
      </c>
      <c r="AJ555" s="50">
        <f>IF(AN555=0,J555,0)</f>
        <v>0</v>
      </c>
      <c r="AK555" s="50">
        <f>IF(AN555=12,J555,0)</f>
        <v>0</v>
      </c>
      <c r="AL555" s="50">
        <f>IF(AN555=21,J555,0)</f>
        <v>0</v>
      </c>
      <c r="AN555" s="50">
        <v>21</v>
      </c>
      <c r="AO555" s="50">
        <f>G555*0.669842424</f>
        <v>0</v>
      </c>
      <c r="AP555" s="50">
        <f>G555*(1-0.669842424)</f>
        <v>0</v>
      </c>
      <c r="AQ555" s="52" t="s">
        <v>158</v>
      </c>
      <c r="AV555" s="50">
        <f>ROUND(AW555+AX555,2)</f>
        <v>0</v>
      </c>
      <c r="AW555" s="50">
        <f>ROUND(F555*AO555,2)</f>
        <v>0</v>
      </c>
      <c r="AX555" s="50">
        <f>ROUND(F555*AP555,2)</f>
        <v>0</v>
      </c>
      <c r="AY555" s="52" t="s">
        <v>875</v>
      </c>
      <c r="AZ555" s="52" t="s">
        <v>749</v>
      </c>
      <c r="BA555" s="32" t="s">
        <v>119</v>
      </c>
      <c r="BC555" s="50">
        <f>AW555+AX555</f>
        <v>0</v>
      </c>
      <c r="BD555" s="50">
        <f>G555/(100-BE555)*100</f>
        <v>0</v>
      </c>
      <c r="BE555" s="50">
        <v>0</v>
      </c>
      <c r="BF555" s="50">
        <f>555</f>
        <v>555</v>
      </c>
      <c r="BH555" s="50">
        <f>F555*AO555</f>
        <v>0</v>
      </c>
      <c r="BI555" s="50">
        <f>F555*AP555</f>
        <v>0</v>
      </c>
      <c r="BJ555" s="50">
        <f>F555*G555</f>
        <v>0</v>
      </c>
      <c r="BK555" s="50"/>
      <c r="BL555" s="50">
        <v>725</v>
      </c>
      <c r="BW555" s="50">
        <v>21</v>
      </c>
      <c r="BX555" s="3" t="s">
        <v>878</v>
      </c>
    </row>
    <row r="556" spans="1:76" ht="14.4" x14ac:dyDescent="0.3">
      <c r="A556" s="53"/>
      <c r="C556" s="54" t="s">
        <v>140</v>
      </c>
      <c r="D556" s="54" t="s">
        <v>4</v>
      </c>
      <c r="F556" s="55">
        <v>4</v>
      </c>
      <c r="K556" s="56"/>
    </row>
    <row r="557" spans="1:76" ht="14.4" x14ac:dyDescent="0.3">
      <c r="A557" s="1" t="s">
        <v>879</v>
      </c>
      <c r="B557" s="2" t="s">
        <v>880</v>
      </c>
      <c r="C557" s="75" t="s">
        <v>881</v>
      </c>
      <c r="D557" s="70"/>
      <c r="E557" s="2" t="s">
        <v>874</v>
      </c>
      <c r="F557" s="50">
        <v>1</v>
      </c>
      <c r="G557" s="50">
        <v>0</v>
      </c>
      <c r="H557" s="50">
        <f>ROUND(F557*AO557,2)</f>
        <v>0</v>
      </c>
      <c r="I557" s="50">
        <f>ROUND(F557*AP557,2)</f>
        <v>0</v>
      </c>
      <c r="J557" s="50">
        <f>ROUND(F557*G557,2)</f>
        <v>0</v>
      </c>
      <c r="K557" s="51" t="s">
        <v>116</v>
      </c>
      <c r="Z557" s="50">
        <f>ROUND(IF(AQ557="5",BJ557,0),2)</f>
        <v>0</v>
      </c>
      <c r="AB557" s="50">
        <f>ROUND(IF(AQ557="1",BH557,0),2)</f>
        <v>0</v>
      </c>
      <c r="AC557" s="50">
        <f>ROUND(IF(AQ557="1",BI557,0),2)</f>
        <v>0</v>
      </c>
      <c r="AD557" s="50">
        <f>ROUND(IF(AQ557="7",BH557,0),2)</f>
        <v>0</v>
      </c>
      <c r="AE557" s="50">
        <f>ROUND(IF(AQ557="7",BI557,0),2)</f>
        <v>0</v>
      </c>
      <c r="AF557" s="50">
        <f>ROUND(IF(AQ557="2",BH557,0),2)</f>
        <v>0</v>
      </c>
      <c r="AG557" s="50">
        <f>ROUND(IF(AQ557="2",BI557,0),2)</f>
        <v>0</v>
      </c>
      <c r="AH557" s="50">
        <f>ROUND(IF(AQ557="0",BJ557,0),2)</f>
        <v>0</v>
      </c>
      <c r="AI557" s="32" t="s">
        <v>4</v>
      </c>
      <c r="AJ557" s="50">
        <f>IF(AN557=0,J557,0)</f>
        <v>0</v>
      </c>
      <c r="AK557" s="50">
        <f>IF(AN557=12,J557,0)</f>
        <v>0</v>
      </c>
      <c r="AL557" s="50">
        <f>IF(AN557=21,J557,0)</f>
        <v>0</v>
      </c>
      <c r="AN557" s="50">
        <v>21</v>
      </c>
      <c r="AO557" s="50">
        <f>G557*0.876924069</f>
        <v>0</v>
      </c>
      <c r="AP557" s="50">
        <f>G557*(1-0.876924069)</f>
        <v>0</v>
      </c>
      <c r="AQ557" s="52" t="s">
        <v>158</v>
      </c>
      <c r="AV557" s="50">
        <f>ROUND(AW557+AX557,2)</f>
        <v>0</v>
      </c>
      <c r="AW557" s="50">
        <f>ROUND(F557*AO557,2)</f>
        <v>0</v>
      </c>
      <c r="AX557" s="50">
        <f>ROUND(F557*AP557,2)</f>
        <v>0</v>
      </c>
      <c r="AY557" s="52" t="s">
        <v>875</v>
      </c>
      <c r="AZ557" s="52" t="s">
        <v>749</v>
      </c>
      <c r="BA557" s="32" t="s">
        <v>119</v>
      </c>
      <c r="BC557" s="50">
        <f>AW557+AX557</f>
        <v>0</v>
      </c>
      <c r="BD557" s="50">
        <f>G557/(100-BE557)*100</f>
        <v>0</v>
      </c>
      <c r="BE557" s="50">
        <v>0</v>
      </c>
      <c r="BF557" s="50">
        <f>557</f>
        <v>557</v>
      </c>
      <c r="BH557" s="50">
        <f>F557*AO557</f>
        <v>0</v>
      </c>
      <c r="BI557" s="50">
        <f>F557*AP557</f>
        <v>0</v>
      </c>
      <c r="BJ557" s="50">
        <f>F557*G557</f>
        <v>0</v>
      </c>
      <c r="BK557" s="50"/>
      <c r="BL557" s="50">
        <v>725</v>
      </c>
      <c r="BW557" s="50">
        <v>21</v>
      </c>
      <c r="BX557" s="3" t="s">
        <v>881</v>
      </c>
    </row>
    <row r="558" spans="1:76" ht="14.4" x14ac:dyDescent="0.3">
      <c r="A558" s="53"/>
      <c r="C558" s="54" t="s">
        <v>112</v>
      </c>
      <c r="D558" s="54" t="s">
        <v>4</v>
      </c>
      <c r="F558" s="55">
        <v>1</v>
      </c>
      <c r="K558" s="56"/>
    </row>
    <row r="559" spans="1:76" ht="14.4" x14ac:dyDescent="0.3">
      <c r="A559" s="1" t="s">
        <v>882</v>
      </c>
      <c r="B559" s="2" t="s">
        <v>883</v>
      </c>
      <c r="C559" s="75" t="s">
        <v>884</v>
      </c>
      <c r="D559" s="70"/>
      <c r="E559" s="2" t="s">
        <v>874</v>
      </c>
      <c r="F559" s="50">
        <v>2</v>
      </c>
      <c r="G559" s="50">
        <v>0</v>
      </c>
      <c r="H559" s="50">
        <f>ROUND(F559*AO559,2)</f>
        <v>0</v>
      </c>
      <c r="I559" s="50">
        <f>ROUND(F559*AP559,2)</f>
        <v>0</v>
      </c>
      <c r="J559" s="50">
        <f>ROUND(F559*G559,2)</f>
        <v>0</v>
      </c>
      <c r="K559" s="51" t="s">
        <v>116</v>
      </c>
      <c r="Z559" s="50">
        <f>ROUND(IF(AQ559="5",BJ559,0),2)</f>
        <v>0</v>
      </c>
      <c r="AB559" s="50">
        <f>ROUND(IF(AQ559="1",BH559,0),2)</f>
        <v>0</v>
      </c>
      <c r="AC559" s="50">
        <f>ROUND(IF(AQ559="1",BI559,0),2)</f>
        <v>0</v>
      </c>
      <c r="AD559" s="50">
        <f>ROUND(IF(AQ559="7",BH559,0),2)</f>
        <v>0</v>
      </c>
      <c r="AE559" s="50">
        <f>ROUND(IF(AQ559="7",BI559,0),2)</f>
        <v>0</v>
      </c>
      <c r="AF559" s="50">
        <f>ROUND(IF(AQ559="2",BH559,0),2)</f>
        <v>0</v>
      </c>
      <c r="AG559" s="50">
        <f>ROUND(IF(AQ559="2",BI559,0),2)</f>
        <v>0</v>
      </c>
      <c r="AH559" s="50">
        <f>ROUND(IF(AQ559="0",BJ559,0),2)</f>
        <v>0</v>
      </c>
      <c r="AI559" s="32" t="s">
        <v>4</v>
      </c>
      <c r="AJ559" s="50">
        <f>IF(AN559=0,J559,0)</f>
        <v>0</v>
      </c>
      <c r="AK559" s="50">
        <f>IF(AN559=12,J559,0)</f>
        <v>0</v>
      </c>
      <c r="AL559" s="50">
        <f>IF(AN559=21,J559,0)</f>
        <v>0</v>
      </c>
      <c r="AN559" s="50">
        <v>21</v>
      </c>
      <c r="AO559" s="50">
        <f>G559*0.300181818</f>
        <v>0</v>
      </c>
      <c r="AP559" s="50">
        <f>G559*(1-0.300181818)</f>
        <v>0</v>
      </c>
      <c r="AQ559" s="52" t="s">
        <v>158</v>
      </c>
      <c r="AV559" s="50">
        <f>ROUND(AW559+AX559,2)</f>
        <v>0</v>
      </c>
      <c r="AW559" s="50">
        <f>ROUND(F559*AO559,2)</f>
        <v>0</v>
      </c>
      <c r="AX559" s="50">
        <f>ROUND(F559*AP559,2)</f>
        <v>0</v>
      </c>
      <c r="AY559" s="52" t="s">
        <v>875</v>
      </c>
      <c r="AZ559" s="52" t="s">
        <v>749</v>
      </c>
      <c r="BA559" s="32" t="s">
        <v>119</v>
      </c>
      <c r="BC559" s="50">
        <f>AW559+AX559</f>
        <v>0</v>
      </c>
      <c r="BD559" s="50">
        <f>G559/(100-BE559)*100</f>
        <v>0</v>
      </c>
      <c r="BE559" s="50">
        <v>0</v>
      </c>
      <c r="BF559" s="50">
        <f>559</f>
        <v>559</v>
      </c>
      <c r="BH559" s="50">
        <f>F559*AO559</f>
        <v>0</v>
      </c>
      <c r="BI559" s="50">
        <f>F559*AP559</f>
        <v>0</v>
      </c>
      <c r="BJ559" s="50">
        <f>F559*G559</f>
        <v>0</v>
      </c>
      <c r="BK559" s="50"/>
      <c r="BL559" s="50">
        <v>725</v>
      </c>
      <c r="BW559" s="50">
        <v>21</v>
      </c>
      <c r="BX559" s="3" t="s">
        <v>884</v>
      </c>
    </row>
    <row r="560" spans="1:76" ht="14.4" x14ac:dyDescent="0.3">
      <c r="A560" s="53"/>
      <c r="C560" s="54" t="s">
        <v>132</v>
      </c>
      <c r="D560" s="54" t="s">
        <v>4</v>
      </c>
      <c r="F560" s="55">
        <v>2</v>
      </c>
      <c r="K560" s="56"/>
    </row>
    <row r="561" spans="1:76" ht="14.4" x14ac:dyDescent="0.3">
      <c r="A561" s="1" t="s">
        <v>885</v>
      </c>
      <c r="B561" s="2" t="s">
        <v>886</v>
      </c>
      <c r="C561" s="75" t="s">
        <v>887</v>
      </c>
      <c r="D561" s="70"/>
      <c r="E561" s="2" t="s">
        <v>278</v>
      </c>
      <c r="F561" s="50">
        <v>1</v>
      </c>
      <c r="G561" s="50">
        <v>0</v>
      </c>
      <c r="H561" s="50">
        <f>ROUND(F561*AO561,2)</f>
        <v>0</v>
      </c>
      <c r="I561" s="50">
        <f>ROUND(F561*AP561,2)</f>
        <v>0</v>
      </c>
      <c r="J561" s="50">
        <f>ROUND(F561*G561,2)</f>
        <v>0</v>
      </c>
      <c r="K561" s="51" t="s">
        <v>116</v>
      </c>
      <c r="Z561" s="50">
        <f>ROUND(IF(AQ561="5",BJ561,0),2)</f>
        <v>0</v>
      </c>
      <c r="AB561" s="50">
        <f>ROUND(IF(AQ561="1",BH561,0),2)</f>
        <v>0</v>
      </c>
      <c r="AC561" s="50">
        <f>ROUND(IF(AQ561="1",BI561,0),2)</f>
        <v>0</v>
      </c>
      <c r="AD561" s="50">
        <f>ROUND(IF(AQ561="7",BH561,0),2)</f>
        <v>0</v>
      </c>
      <c r="AE561" s="50">
        <f>ROUND(IF(AQ561="7",BI561,0),2)</f>
        <v>0</v>
      </c>
      <c r="AF561" s="50">
        <f>ROUND(IF(AQ561="2",BH561,0),2)</f>
        <v>0</v>
      </c>
      <c r="AG561" s="50">
        <f>ROUND(IF(AQ561="2",BI561,0),2)</f>
        <v>0</v>
      </c>
      <c r="AH561" s="50">
        <f>ROUND(IF(AQ561="0",BJ561,0),2)</f>
        <v>0</v>
      </c>
      <c r="AI561" s="32" t="s">
        <v>4</v>
      </c>
      <c r="AJ561" s="50">
        <f>IF(AN561=0,J561,0)</f>
        <v>0</v>
      </c>
      <c r="AK561" s="50">
        <f>IF(AN561=12,J561,0)</f>
        <v>0</v>
      </c>
      <c r="AL561" s="50">
        <f>IF(AN561=21,J561,0)</f>
        <v>0</v>
      </c>
      <c r="AN561" s="50">
        <v>21</v>
      </c>
      <c r="AO561" s="50">
        <f>G561*1</f>
        <v>0</v>
      </c>
      <c r="AP561" s="50">
        <f>G561*(1-1)</f>
        <v>0</v>
      </c>
      <c r="AQ561" s="52" t="s">
        <v>158</v>
      </c>
      <c r="AV561" s="50">
        <f>ROUND(AW561+AX561,2)</f>
        <v>0</v>
      </c>
      <c r="AW561" s="50">
        <f>ROUND(F561*AO561,2)</f>
        <v>0</v>
      </c>
      <c r="AX561" s="50">
        <f>ROUND(F561*AP561,2)</f>
        <v>0</v>
      </c>
      <c r="AY561" s="52" t="s">
        <v>875</v>
      </c>
      <c r="AZ561" s="52" t="s">
        <v>749</v>
      </c>
      <c r="BA561" s="32" t="s">
        <v>119</v>
      </c>
      <c r="BC561" s="50">
        <f>AW561+AX561</f>
        <v>0</v>
      </c>
      <c r="BD561" s="50">
        <f>G561/(100-BE561)*100</f>
        <v>0</v>
      </c>
      <c r="BE561" s="50">
        <v>0</v>
      </c>
      <c r="BF561" s="50">
        <f>561</f>
        <v>561</v>
      </c>
      <c r="BH561" s="50">
        <f>F561*AO561</f>
        <v>0</v>
      </c>
      <c r="BI561" s="50">
        <f>F561*AP561</f>
        <v>0</v>
      </c>
      <c r="BJ561" s="50">
        <f>F561*G561</f>
        <v>0</v>
      </c>
      <c r="BK561" s="50"/>
      <c r="BL561" s="50">
        <v>725</v>
      </c>
      <c r="BW561" s="50">
        <v>21</v>
      </c>
      <c r="BX561" s="3" t="s">
        <v>887</v>
      </c>
    </row>
    <row r="562" spans="1:76" ht="14.4" x14ac:dyDescent="0.3">
      <c r="A562" s="53"/>
      <c r="C562" s="54" t="s">
        <v>112</v>
      </c>
      <c r="D562" s="54" t="s">
        <v>4</v>
      </c>
      <c r="F562" s="55">
        <v>1</v>
      </c>
      <c r="K562" s="56"/>
    </row>
    <row r="563" spans="1:76" ht="14.4" x14ac:dyDescent="0.3">
      <c r="A563" s="1" t="s">
        <v>888</v>
      </c>
      <c r="B563" s="2" t="s">
        <v>889</v>
      </c>
      <c r="C563" s="75" t="s">
        <v>890</v>
      </c>
      <c r="D563" s="70"/>
      <c r="E563" s="2" t="s">
        <v>278</v>
      </c>
      <c r="F563" s="50">
        <v>1</v>
      </c>
      <c r="G563" s="50">
        <v>0</v>
      </c>
      <c r="H563" s="50">
        <f>ROUND(F563*AO563,2)</f>
        <v>0</v>
      </c>
      <c r="I563" s="50">
        <f>ROUND(F563*AP563,2)</f>
        <v>0</v>
      </c>
      <c r="J563" s="50">
        <f>ROUND(F563*G563,2)</f>
        <v>0</v>
      </c>
      <c r="K563" s="51" t="s">
        <v>116</v>
      </c>
      <c r="Z563" s="50">
        <f>ROUND(IF(AQ563="5",BJ563,0),2)</f>
        <v>0</v>
      </c>
      <c r="AB563" s="50">
        <f>ROUND(IF(AQ563="1",BH563,0),2)</f>
        <v>0</v>
      </c>
      <c r="AC563" s="50">
        <f>ROUND(IF(AQ563="1",BI563,0),2)</f>
        <v>0</v>
      </c>
      <c r="AD563" s="50">
        <f>ROUND(IF(AQ563="7",BH563,0),2)</f>
        <v>0</v>
      </c>
      <c r="AE563" s="50">
        <f>ROUND(IF(AQ563="7",BI563,0),2)</f>
        <v>0</v>
      </c>
      <c r="AF563" s="50">
        <f>ROUND(IF(AQ563="2",BH563,0),2)</f>
        <v>0</v>
      </c>
      <c r="AG563" s="50">
        <f>ROUND(IF(AQ563="2",BI563,0),2)</f>
        <v>0</v>
      </c>
      <c r="AH563" s="50">
        <f>ROUND(IF(AQ563="0",BJ563,0),2)</f>
        <v>0</v>
      </c>
      <c r="AI563" s="32" t="s">
        <v>4</v>
      </c>
      <c r="AJ563" s="50">
        <f>IF(AN563=0,J563,0)</f>
        <v>0</v>
      </c>
      <c r="AK563" s="50">
        <f>IF(AN563=12,J563,0)</f>
        <v>0</v>
      </c>
      <c r="AL563" s="50">
        <f>IF(AN563=21,J563,0)</f>
        <v>0</v>
      </c>
      <c r="AN563" s="50">
        <v>21</v>
      </c>
      <c r="AO563" s="50">
        <f>G563*1</f>
        <v>0</v>
      </c>
      <c r="AP563" s="50">
        <f>G563*(1-1)</f>
        <v>0</v>
      </c>
      <c r="AQ563" s="52" t="s">
        <v>158</v>
      </c>
      <c r="AV563" s="50">
        <f>ROUND(AW563+AX563,2)</f>
        <v>0</v>
      </c>
      <c r="AW563" s="50">
        <f>ROUND(F563*AO563,2)</f>
        <v>0</v>
      </c>
      <c r="AX563" s="50">
        <f>ROUND(F563*AP563,2)</f>
        <v>0</v>
      </c>
      <c r="AY563" s="52" t="s">
        <v>875</v>
      </c>
      <c r="AZ563" s="52" t="s">
        <v>749</v>
      </c>
      <c r="BA563" s="32" t="s">
        <v>119</v>
      </c>
      <c r="BC563" s="50">
        <f>AW563+AX563</f>
        <v>0</v>
      </c>
      <c r="BD563" s="50">
        <f>G563/(100-BE563)*100</f>
        <v>0</v>
      </c>
      <c r="BE563" s="50">
        <v>0</v>
      </c>
      <c r="BF563" s="50">
        <f>563</f>
        <v>563</v>
      </c>
      <c r="BH563" s="50">
        <f>F563*AO563</f>
        <v>0</v>
      </c>
      <c r="BI563" s="50">
        <f>F563*AP563</f>
        <v>0</v>
      </c>
      <c r="BJ563" s="50">
        <f>F563*G563</f>
        <v>0</v>
      </c>
      <c r="BK563" s="50"/>
      <c r="BL563" s="50">
        <v>725</v>
      </c>
      <c r="BW563" s="50">
        <v>21</v>
      </c>
      <c r="BX563" s="3" t="s">
        <v>890</v>
      </c>
    </row>
    <row r="564" spans="1:76" ht="14.4" x14ac:dyDescent="0.3">
      <c r="A564" s="53"/>
      <c r="C564" s="54" t="s">
        <v>112</v>
      </c>
      <c r="D564" s="54" t="s">
        <v>4</v>
      </c>
      <c r="F564" s="55">
        <v>1</v>
      </c>
      <c r="K564" s="56"/>
    </row>
    <row r="565" spans="1:76" ht="14.4" x14ac:dyDescent="0.3">
      <c r="A565" s="1" t="s">
        <v>891</v>
      </c>
      <c r="B565" s="2" t="s">
        <v>892</v>
      </c>
      <c r="C565" s="75" t="s">
        <v>893</v>
      </c>
      <c r="D565" s="70"/>
      <c r="E565" s="2" t="s">
        <v>874</v>
      </c>
      <c r="F565" s="50">
        <v>2</v>
      </c>
      <c r="G565" s="50">
        <v>0</v>
      </c>
      <c r="H565" s="50">
        <f>ROUND(F565*AO565,2)</f>
        <v>0</v>
      </c>
      <c r="I565" s="50">
        <f>ROUND(F565*AP565,2)</f>
        <v>0</v>
      </c>
      <c r="J565" s="50">
        <f>ROUND(F565*G565,2)</f>
        <v>0</v>
      </c>
      <c r="K565" s="51" t="s">
        <v>116</v>
      </c>
      <c r="Z565" s="50">
        <f>ROUND(IF(AQ565="5",BJ565,0),2)</f>
        <v>0</v>
      </c>
      <c r="AB565" s="50">
        <f>ROUND(IF(AQ565="1",BH565,0),2)</f>
        <v>0</v>
      </c>
      <c r="AC565" s="50">
        <f>ROUND(IF(AQ565="1",BI565,0),2)</f>
        <v>0</v>
      </c>
      <c r="AD565" s="50">
        <f>ROUND(IF(AQ565="7",BH565,0),2)</f>
        <v>0</v>
      </c>
      <c r="AE565" s="50">
        <f>ROUND(IF(AQ565="7",BI565,0),2)</f>
        <v>0</v>
      </c>
      <c r="AF565" s="50">
        <f>ROUND(IF(AQ565="2",BH565,0),2)</f>
        <v>0</v>
      </c>
      <c r="AG565" s="50">
        <f>ROUND(IF(AQ565="2",BI565,0),2)</f>
        <v>0</v>
      </c>
      <c r="AH565" s="50">
        <f>ROUND(IF(AQ565="0",BJ565,0),2)</f>
        <v>0</v>
      </c>
      <c r="AI565" s="32" t="s">
        <v>4</v>
      </c>
      <c r="AJ565" s="50">
        <f>IF(AN565=0,J565,0)</f>
        <v>0</v>
      </c>
      <c r="AK565" s="50">
        <f>IF(AN565=12,J565,0)</f>
        <v>0</v>
      </c>
      <c r="AL565" s="50">
        <f>IF(AN565=21,J565,0)</f>
        <v>0</v>
      </c>
      <c r="AN565" s="50">
        <v>21</v>
      </c>
      <c r="AO565" s="50">
        <f>G565*0.054292308</f>
        <v>0</v>
      </c>
      <c r="AP565" s="50">
        <f>G565*(1-0.054292308)</f>
        <v>0</v>
      </c>
      <c r="AQ565" s="52" t="s">
        <v>158</v>
      </c>
      <c r="AV565" s="50">
        <f>ROUND(AW565+AX565,2)</f>
        <v>0</v>
      </c>
      <c r="AW565" s="50">
        <f>ROUND(F565*AO565,2)</f>
        <v>0</v>
      </c>
      <c r="AX565" s="50">
        <f>ROUND(F565*AP565,2)</f>
        <v>0</v>
      </c>
      <c r="AY565" s="52" t="s">
        <v>875</v>
      </c>
      <c r="AZ565" s="52" t="s">
        <v>749</v>
      </c>
      <c r="BA565" s="32" t="s">
        <v>119</v>
      </c>
      <c r="BC565" s="50">
        <f>AW565+AX565</f>
        <v>0</v>
      </c>
      <c r="BD565" s="50">
        <f>G565/(100-BE565)*100</f>
        <v>0</v>
      </c>
      <c r="BE565" s="50">
        <v>0</v>
      </c>
      <c r="BF565" s="50">
        <f>565</f>
        <v>565</v>
      </c>
      <c r="BH565" s="50">
        <f>F565*AO565</f>
        <v>0</v>
      </c>
      <c r="BI565" s="50">
        <f>F565*AP565</f>
        <v>0</v>
      </c>
      <c r="BJ565" s="50">
        <f>F565*G565</f>
        <v>0</v>
      </c>
      <c r="BK565" s="50"/>
      <c r="BL565" s="50">
        <v>725</v>
      </c>
      <c r="BW565" s="50">
        <v>21</v>
      </c>
      <c r="BX565" s="3" t="s">
        <v>893</v>
      </c>
    </row>
    <row r="566" spans="1:76" ht="14.4" x14ac:dyDescent="0.3">
      <c r="A566" s="53"/>
      <c r="C566" s="54" t="s">
        <v>132</v>
      </c>
      <c r="D566" s="54" t="s">
        <v>4</v>
      </c>
      <c r="F566" s="55">
        <v>2</v>
      </c>
      <c r="K566" s="56"/>
    </row>
    <row r="567" spans="1:76" ht="14.4" x14ac:dyDescent="0.3">
      <c r="A567" s="1" t="s">
        <v>894</v>
      </c>
      <c r="B567" s="2" t="s">
        <v>895</v>
      </c>
      <c r="C567" s="75" t="s">
        <v>896</v>
      </c>
      <c r="D567" s="70"/>
      <c r="E567" s="2" t="s">
        <v>278</v>
      </c>
      <c r="F567" s="50">
        <v>1</v>
      </c>
      <c r="G567" s="50">
        <v>0</v>
      </c>
      <c r="H567" s="50">
        <f>ROUND(F567*AO567,2)</f>
        <v>0</v>
      </c>
      <c r="I567" s="50">
        <f>ROUND(F567*AP567,2)</f>
        <v>0</v>
      </c>
      <c r="J567" s="50">
        <f>ROUND(F567*G567,2)</f>
        <v>0</v>
      </c>
      <c r="K567" s="51" t="s">
        <v>116</v>
      </c>
      <c r="Z567" s="50">
        <f>ROUND(IF(AQ567="5",BJ567,0),2)</f>
        <v>0</v>
      </c>
      <c r="AB567" s="50">
        <f>ROUND(IF(AQ567="1",BH567,0),2)</f>
        <v>0</v>
      </c>
      <c r="AC567" s="50">
        <f>ROUND(IF(AQ567="1",BI567,0),2)</f>
        <v>0</v>
      </c>
      <c r="AD567" s="50">
        <f>ROUND(IF(AQ567="7",BH567,0),2)</f>
        <v>0</v>
      </c>
      <c r="AE567" s="50">
        <f>ROUND(IF(AQ567="7",BI567,0),2)</f>
        <v>0</v>
      </c>
      <c r="AF567" s="50">
        <f>ROUND(IF(AQ567="2",BH567,0),2)</f>
        <v>0</v>
      </c>
      <c r="AG567" s="50">
        <f>ROUND(IF(AQ567="2",BI567,0),2)</f>
        <v>0</v>
      </c>
      <c r="AH567" s="50">
        <f>ROUND(IF(AQ567="0",BJ567,0),2)</f>
        <v>0</v>
      </c>
      <c r="AI567" s="32" t="s">
        <v>4</v>
      </c>
      <c r="AJ567" s="50">
        <f>IF(AN567=0,J567,0)</f>
        <v>0</v>
      </c>
      <c r="AK567" s="50">
        <f>IF(AN567=12,J567,0)</f>
        <v>0</v>
      </c>
      <c r="AL567" s="50">
        <f>IF(AN567=21,J567,0)</f>
        <v>0</v>
      </c>
      <c r="AN567" s="50">
        <v>21</v>
      </c>
      <c r="AO567" s="50">
        <f>G567*1</f>
        <v>0</v>
      </c>
      <c r="AP567" s="50">
        <f>G567*(1-1)</f>
        <v>0</v>
      </c>
      <c r="AQ567" s="52" t="s">
        <v>158</v>
      </c>
      <c r="AV567" s="50">
        <f>ROUND(AW567+AX567,2)</f>
        <v>0</v>
      </c>
      <c r="AW567" s="50">
        <f>ROUND(F567*AO567,2)</f>
        <v>0</v>
      </c>
      <c r="AX567" s="50">
        <f>ROUND(F567*AP567,2)</f>
        <v>0</v>
      </c>
      <c r="AY567" s="52" t="s">
        <v>875</v>
      </c>
      <c r="AZ567" s="52" t="s">
        <v>749</v>
      </c>
      <c r="BA567" s="32" t="s">
        <v>119</v>
      </c>
      <c r="BC567" s="50">
        <f>AW567+AX567</f>
        <v>0</v>
      </c>
      <c r="BD567" s="50">
        <f>G567/(100-BE567)*100</f>
        <v>0</v>
      </c>
      <c r="BE567" s="50">
        <v>0</v>
      </c>
      <c r="BF567" s="50">
        <f>567</f>
        <v>567</v>
      </c>
      <c r="BH567" s="50">
        <f>F567*AO567</f>
        <v>0</v>
      </c>
      <c r="BI567" s="50">
        <f>F567*AP567</f>
        <v>0</v>
      </c>
      <c r="BJ567" s="50">
        <f>F567*G567</f>
        <v>0</v>
      </c>
      <c r="BK567" s="50"/>
      <c r="BL567" s="50">
        <v>725</v>
      </c>
      <c r="BW567" s="50">
        <v>21</v>
      </c>
      <c r="BX567" s="3" t="s">
        <v>896</v>
      </c>
    </row>
    <row r="568" spans="1:76" ht="14.4" x14ac:dyDescent="0.3">
      <c r="A568" s="53"/>
      <c r="C568" s="54" t="s">
        <v>112</v>
      </c>
      <c r="D568" s="54" t="s">
        <v>4</v>
      </c>
      <c r="F568" s="55">
        <v>1</v>
      </c>
      <c r="K568" s="56"/>
    </row>
    <row r="569" spans="1:76" ht="14.4" x14ac:dyDescent="0.3">
      <c r="A569" s="1" t="s">
        <v>897</v>
      </c>
      <c r="B569" s="2" t="s">
        <v>898</v>
      </c>
      <c r="C569" s="75" t="s">
        <v>899</v>
      </c>
      <c r="D569" s="70"/>
      <c r="E569" s="2" t="s">
        <v>278</v>
      </c>
      <c r="F569" s="50">
        <v>1</v>
      </c>
      <c r="G569" s="50">
        <v>0</v>
      </c>
      <c r="H569" s="50">
        <f>ROUND(F569*AO569,2)</f>
        <v>0</v>
      </c>
      <c r="I569" s="50">
        <f>ROUND(F569*AP569,2)</f>
        <v>0</v>
      </c>
      <c r="J569" s="50">
        <f>ROUND(F569*G569,2)</f>
        <v>0</v>
      </c>
      <c r="K569" s="51" t="s">
        <v>116</v>
      </c>
      <c r="Z569" s="50">
        <f>ROUND(IF(AQ569="5",BJ569,0),2)</f>
        <v>0</v>
      </c>
      <c r="AB569" s="50">
        <f>ROUND(IF(AQ569="1",BH569,0),2)</f>
        <v>0</v>
      </c>
      <c r="AC569" s="50">
        <f>ROUND(IF(AQ569="1",BI569,0),2)</f>
        <v>0</v>
      </c>
      <c r="AD569" s="50">
        <f>ROUND(IF(AQ569="7",BH569,0),2)</f>
        <v>0</v>
      </c>
      <c r="AE569" s="50">
        <f>ROUND(IF(AQ569="7",BI569,0),2)</f>
        <v>0</v>
      </c>
      <c r="AF569" s="50">
        <f>ROUND(IF(AQ569="2",BH569,0),2)</f>
        <v>0</v>
      </c>
      <c r="AG569" s="50">
        <f>ROUND(IF(AQ569="2",BI569,0),2)</f>
        <v>0</v>
      </c>
      <c r="AH569" s="50">
        <f>ROUND(IF(AQ569="0",BJ569,0),2)</f>
        <v>0</v>
      </c>
      <c r="AI569" s="32" t="s">
        <v>4</v>
      </c>
      <c r="AJ569" s="50">
        <f>IF(AN569=0,J569,0)</f>
        <v>0</v>
      </c>
      <c r="AK569" s="50">
        <f>IF(AN569=12,J569,0)</f>
        <v>0</v>
      </c>
      <c r="AL569" s="50">
        <f>IF(AN569=21,J569,0)</f>
        <v>0</v>
      </c>
      <c r="AN569" s="50">
        <v>21</v>
      </c>
      <c r="AO569" s="50">
        <f>G569*1</f>
        <v>0</v>
      </c>
      <c r="AP569" s="50">
        <f>G569*(1-1)</f>
        <v>0</v>
      </c>
      <c r="AQ569" s="52" t="s">
        <v>158</v>
      </c>
      <c r="AV569" s="50">
        <f>ROUND(AW569+AX569,2)</f>
        <v>0</v>
      </c>
      <c r="AW569" s="50">
        <f>ROUND(F569*AO569,2)</f>
        <v>0</v>
      </c>
      <c r="AX569" s="50">
        <f>ROUND(F569*AP569,2)</f>
        <v>0</v>
      </c>
      <c r="AY569" s="52" t="s">
        <v>875</v>
      </c>
      <c r="AZ569" s="52" t="s">
        <v>749</v>
      </c>
      <c r="BA569" s="32" t="s">
        <v>119</v>
      </c>
      <c r="BC569" s="50">
        <f>AW569+AX569</f>
        <v>0</v>
      </c>
      <c r="BD569" s="50">
        <f>G569/(100-BE569)*100</f>
        <v>0</v>
      </c>
      <c r="BE569" s="50">
        <v>0</v>
      </c>
      <c r="BF569" s="50">
        <f>569</f>
        <v>569</v>
      </c>
      <c r="BH569" s="50">
        <f>F569*AO569</f>
        <v>0</v>
      </c>
      <c r="BI569" s="50">
        <f>F569*AP569</f>
        <v>0</v>
      </c>
      <c r="BJ569" s="50">
        <f>F569*G569</f>
        <v>0</v>
      </c>
      <c r="BK569" s="50"/>
      <c r="BL569" s="50">
        <v>725</v>
      </c>
      <c r="BW569" s="50">
        <v>21</v>
      </c>
      <c r="BX569" s="3" t="s">
        <v>899</v>
      </c>
    </row>
    <row r="570" spans="1:76" ht="14.4" x14ac:dyDescent="0.3">
      <c r="A570" s="53"/>
      <c r="C570" s="54" t="s">
        <v>112</v>
      </c>
      <c r="D570" s="54" t="s">
        <v>4</v>
      </c>
      <c r="F570" s="55">
        <v>1</v>
      </c>
      <c r="K570" s="56"/>
    </row>
    <row r="571" spans="1:76" ht="14.4" x14ac:dyDescent="0.3">
      <c r="A571" s="1" t="s">
        <v>900</v>
      </c>
      <c r="B571" s="2" t="s">
        <v>901</v>
      </c>
      <c r="C571" s="75" t="s">
        <v>902</v>
      </c>
      <c r="D571" s="70"/>
      <c r="E571" s="2" t="s">
        <v>874</v>
      </c>
      <c r="F571" s="50">
        <v>10</v>
      </c>
      <c r="G571" s="50">
        <v>0</v>
      </c>
      <c r="H571" s="50">
        <f>ROUND(F571*AO571,2)</f>
        <v>0</v>
      </c>
      <c r="I571" s="50">
        <f>ROUND(F571*AP571,2)</f>
        <v>0</v>
      </c>
      <c r="J571" s="50">
        <f>ROUND(F571*G571,2)</f>
        <v>0</v>
      </c>
      <c r="K571" s="51" t="s">
        <v>116</v>
      </c>
      <c r="Z571" s="50">
        <f>ROUND(IF(AQ571="5",BJ571,0),2)</f>
        <v>0</v>
      </c>
      <c r="AB571" s="50">
        <f>ROUND(IF(AQ571="1",BH571,0),2)</f>
        <v>0</v>
      </c>
      <c r="AC571" s="50">
        <f>ROUND(IF(AQ571="1",BI571,0),2)</f>
        <v>0</v>
      </c>
      <c r="AD571" s="50">
        <f>ROUND(IF(AQ571="7",BH571,0),2)</f>
        <v>0</v>
      </c>
      <c r="AE571" s="50">
        <f>ROUND(IF(AQ571="7",BI571,0),2)</f>
        <v>0</v>
      </c>
      <c r="AF571" s="50">
        <f>ROUND(IF(AQ571="2",BH571,0),2)</f>
        <v>0</v>
      </c>
      <c r="AG571" s="50">
        <f>ROUND(IF(AQ571="2",BI571,0),2)</f>
        <v>0</v>
      </c>
      <c r="AH571" s="50">
        <f>ROUND(IF(AQ571="0",BJ571,0),2)</f>
        <v>0</v>
      </c>
      <c r="AI571" s="32" t="s">
        <v>4</v>
      </c>
      <c r="AJ571" s="50">
        <f>IF(AN571=0,J571,0)</f>
        <v>0</v>
      </c>
      <c r="AK571" s="50">
        <f>IF(AN571=12,J571,0)</f>
        <v>0</v>
      </c>
      <c r="AL571" s="50">
        <f>IF(AN571=21,J571,0)</f>
        <v>0</v>
      </c>
      <c r="AN571" s="50">
        <v>21</v>
      </c>
      <c r="AO571" s="50">
        <f>G571*0.750506329</f>
        <v>0</v>
      </c>
      <c r="AP571" s="50">
        <f>G571*(1-0.750506329)</f>
        <v>0</v>
      </c>
      <c r="AQ571" s="52" t="s">
        <v>158</v>
      </c>
      <c r="AV571" s="50">
        <f>ROUND(AW571+AX571,2)</f>
        <v>0</v>
      </c>
      <c r="AW571" s="50">
        <f>ROUND(F571*AO571,2)</f>
        <v>0</v>
      </c>
      <c r="AX571" s="50">
        <f>ROUND(F571*AP571,2)</f>
        <v>0</v>
      </c>
      <c r="AY571" s="52" t="s">
        <v>875</v>
      </c>
      <c r="AZ571" s="52" t="s">
        <v>749</v>
      </c>
      <c r="BA571" s="32" t="s">
        <v>119</v>
      </c>
      <c r="BC571" s="50">
        <f>AW571+AX571</f>
        <v>0</v>
      </c>
      <c r="BD571" s="50">
        <f>G571/(100-BE571)*100</f>
        <v>0</v>
      </c>
      <c r="BE571" s="50">
        <v>0</v>
      </c>
      <c r="BF571" s="50">
        <f>571</f>
        <v>571</v>
      </c>
      <c r="BH571" s="50">
        <f>F571*AO571</f>
        <v>0</v>
      </c>
      <c r="BI571" s="50">
        <f>F571*AP571</f>
        <v>0</v>
      </c>
      <c r="BJ571" s="50">
        <f>F571*G571</f>
        <v>0</v>
      </c>
      <c r="BK571" s="50"/>
      <c r="BL571" s="50">
        <v>725</v>
      </c>
      <c r="BW571" s="50">
        <v>21</v>
      </c>
      <c r="BX571" s="3" t="s">
        <v>902</v>
      </c>
    </row>
    <row r="572" spans="1:76" ht="14.4" x14ac:dyDescent="0.3">
      <c r="A572" s="53"/>
      <c r="C572" s="54" t="s">
        <v>170</v>
      </c>
      <c r="D572" s="54" t="s">
        <v>4</v>
      </c>
      <c r="F572" s="55">
        <v>10</v>
      </c>
      <c r="K572" s="56"/>
    </row>
    <row r="573" spans="1:76" ht="14.4" x14ac:dyDescent="0.3">
      <c r="A573" s="1" t="s">
        <v>903</v>
      </c>
      <c r="B573" s="2" t="s">
        <v>904</v>
      </c>
      <c r="C573" s="75" t="s">
        <v>905</v>
      </c>
      <c r="D573" s="70"/>
      <c r="E573" s="2" t="s">
        <v>874</v>
      </c>
      <c r="F573" s="50">
        <v>2</v>
      </c>
      <c r="G573" s="50">
        <v>0</v>
      </c>
      <c r="H573" s="50">
        <f>ROUND(F573*AO573,2)</f>
        <v>0</v>
      </c>
      <c r="I573" s="50">
        <f>ROUND(F573*AP573,2)</f>
        <v>0</v>
      </c>
      <c r="J573" s="50">
        <f>ROUND(F573*G573,2)</f>
        <v>0</v>
      </c>
      <c r="K573" s="51" t="s">
        <v>116</v>
      </c>
      <c r="Z573" s="50">
        <f>ROUND(IF(AQ573="5",BJ573,0),2)</f>
        <v>0</v>
      </c>
      <c r="AB573" s="50">
        <f>ROUND(IF(AQ573="1",BH573,0),2)</f>
        <v>0</v>
      </c>
      <c r="AC573" s="50">
        <f>ROUND(IF(AQ573="1",BI573,0),2)</f>
        <v>0</v>
      </c>
      <c r="AD573" s="50">
        <f>ROUND(IF(AQ573="7",BH573,0),2)</f>
        <v>0</v>
      </c>
      <c r="AE573" s="50">
        <f>ROUND(IF(AQ573="7",BI573,0),2)</f>
        <v>0</v>
      </c>
      <c r="AF573" s="50">
        <f>ROUND(IF(AQ573="2",BH573,0),2)</f>
        <v>0</v>
      </c>
      <c r="AG573" s="50">
        <f>ROUND(IF(AQ573="2",BI573,0),2)</f>
        <v>0</v>
      </c>
      <c r="AH573" s="50">
        <f>ROUND(IF(AQ573="0",BJ573,0),2)</f>
        <v>0</v>
      </c>
      <c r="AI573" s="32" t="s">
        <v>4</v>
      </c>
      <c r="AJ573" s="50">
        <f>IF(AN573=0,J573,0)</f>
        <v>0</v>
      </c>
      <c r="AK573" s="50">
        <f>IF(AN573=12,J573,0)</f>
        <v>0</v>
      </c>
      <c r="AL573" s="50">
        <f>IF(AN573=21,J573,0)</f>
        <v>0</v>
      </c>
      <c r="AN573" s="50">
        <v>21</v>
      </c>
      <c r="AO573" s="50">
        <f>G573*0.775704125</f>
        <v>0</v>
      </c>
      <c r="AP573" s="50">
        <f>G573*(1-0.775704125)</f>
        <v>0</v>
      </c>
      <c r="AQ573" s="52" t="s">
        <v>158</v>
      </c>
      <c r="AV573" s="50">
        <f>ROUND(AW573+AX573,2)</f>
        <v>0</v>
      </c>
      <c r="AW573" s="50">
        <f>ROUND(F573*AO573,2)</f>
        <v>0</v>
      </c>
      <c r="AX573" s="50">
        <f>ROUND(F573*AP573,2)</f>
        <v>0</v>
      </c>
      <c r="AY573" s="52" t="s">
        <v>875</v>
      </c>
      <c r="AZ573" s="52" t="s">
        <v>749</v>
      </c>
      <c r="BA573" s="32" t="s">
        <v>119</v>
      </c>
      <c r="BC573" s="50">
        <f>AW573+AX573</f>
        <v>0</v>
      </c>
      <c r="BD573" s="50">
        <f>G573/(100-BE573)*100</f>
        <v>0</v>
      </c>
      <c r="BE573" s="50">
        <v>0</v>
      </c>
      <c r="BF573" s="50">
        <f>573</f>
        <v>573</v>
      </c>
      <c r="BH573" s="50">
        <f>F573*AO573</f>
        <v>0</v>
      </c>
      <c r="BI573" s="50">
        <f>F573*AP573</f>
        <v>0</v>
      </c>
      <c r="BJ573" s="50">
        <f>F573*G573</f>
        <v>0</v>
      </c>
      <c r="BK573" s="50"/>
      <c r="BL573" s="50">
        <v>725</v>
      </c>
      <c r="BW573" s="50">
        <v>21</v>
      </c>
      <c r="BX573" s="3" t="s">
        <v>905</v>
      </c>
    </row>
    <row r="574" spans="1:76" ht="14.4" x14ac:dyDescent="0.3">
      <c r="A574" s="53"/>
      <c r="C574" s="54" t="s">
        <v>132</v>
      </c>
      <c r="D574" s="54" t="s">
        <v>4</v>
      </c>
      <c r="F574" s="55">
        <v>2</v>
      </c>
      <c r="K574" s="56"/>
    </row>
    <row r="575" spans="1:76" ht="14.4" x14ac:dyDescent="0.3">
      <c r="A575" s="1" t="s">
        <v>906</v>
      </c>
      <c r="B575" s="2" t="s">
        <v>907</v>
      </c>
      <c r="C575" s="75" t="s">
        <v>908</v>
      </c>
      <c r="D575" s="70"/>
      <c r="E575" s="2" t="s">
        <v>278</v>
      </c>
      <c r="F575" s="50">
        <v>4</v>
      </c>
      <c r="G575" s="50">
        <v>0</v>
      </c>
      <c r="H575" s="50">
        <f>ROUND(F575*AO575,2)</f>
        <v>0</v>
      </c>
      <c r="I575" s="50">
        <f>ROUND(F575*AP575,2)</f>
        <v>0</v>
      </c>
      <c r="J575" s="50">
        <f>ROUND(F575*G575,2)</f>
        <v>0</v>
      </c>
      <c r="K575" s="51" t="s">
        <v>116</v>
      </c>
      <c r="Z575" s="50">
        <f>ROUND(IF(AQ575="5",BJ575,0),2)</f>
        <v>0</v>
      </c>
      <c r="AB575" s="50">
        <f>ROUND(IF(AQ575="1",BH575,0),2)</f>
        <v>0</v>
      </c>
      <c r="AC575" s="50">
        <f>ROUND(IF(AQ575="1",BI575,0),2)</f>
        <v>0</v>
      </c>
      <c r="AD575" s="50">
        <f>ROUND(IF(AQ575="7",BH575,0),2)</f>
        <v>0</v>
      </c>
      <c r="AE575" s="50">
        <f>ROUND(IF(AQ575="7",BI575,0),2)</f>
        <v>0</v>
      </c>
      <c r="AF575" s="50">
        <f>ROUND(IF(AQ575="2",BH575,0),2)</f>
        <v>0</v>
      </c>
      <c r="AG575" s="50">
        <f>ROUND(IF(AQ575="2",BI575,0),2)</f>
        <v>0</v>
      </c>
      <c r="AH575" s="50">
        <f>ROUND(IF(AQ575="0",BJ575,0),2)</f>
        <v>0</v>
      </c>
      <c r="AI575" s="32" t="s">
        <v>4</v>
      </c>
      <c r="AJ575" s="50">
        <f>IF(AN575=0,J575,0)</f>
        <v>0</v>
      </c>
      <c r="AK575" s="50">
        <f>IF(AN575=12,J575,0)</f>
        <v>0</v>
      </c>
      <c r="AL575" s="50">
        <f>IF(AN575=21,J575,0)</f>
        <v>0</v>
      </c>
      <c r="AN575" s="50">
        <v>21</v>
      </c>
      <c r="AO575" s="50">
        <f>G575*0.883641509</f>
        <v>0</v>
      </c>
      <c r="AP575" s="50">
        <f>G575*(1-0.883641509)</f>
        <v>0</v>
      </c>
      <c r="AQ575" s="52" t="s">
        <v>158</v>
      </c>
      <c r="AV575" s="50">
        <f>ROUND(AW575+AX575,2)</f>
        <v>0</v>
      </c>
      <c r="AW575" s="50">
        <f>ROUND(F575*AO575,2)</f>
        <v>0</v>
      </c>
      <c r="AX575" s="50">
        <f>ROUND(F575*AP575,2)</f>
        <v>0</v>
      </c>
      <c r="AY575" s="52" t="s">
        <v>875</v>
      </c>
      <c r="AZ575" s="52" t="s">
        <v>749</v>
      </c>
      <c r="BA575" s="32" t="s">
        <v>119</v>
      </c>
      <c r="BC575" s="50">
        <f>AW575+AX575</f>
        <v>0</v>
      </c>
      <c r="BD575" s="50">
        <f>G575/(100-BE575)*100</f>
        <v>0</v>
      </c>
      <c r="BE575" s="50">
        <v>0</v>
      </c>
      <c r="BF575" s="50">
        <f>575</f>
        <v>575</v>
      </c>
      <c r="BH575" s="50">
        <f>F575*AO575</f>
        <v>0</v>
      </c>
      <c r="BI575" s="50">
        <f>F575*AP575</f>
        <v>0</v>
      </c>
      <c r="BJ575" s="50">
        <f>F575*G575</f>
        <v>0</v>
      </c>
      <c r="BK575" s="50"/>
      <c r="BL575" s="50">
        <v>725</v>
      </c>
      <c r="BW575" s="50">
        <v>21</v>
      </c>
      <c r="BX575" s="3" t="s">
        <v>908</v>
      </c>
    </row>
    <row r="576" spans="1:76" ht="13.5" customHeight="1" x14ac:dyDescent="0.3">
      <c r="A576" s="53"/>
      <c r="B576" s="57" t="s">
        <v>198</v>
      </c>
      <c r="C576" s="150" t="s">
        <v>909</v>
      </c>
      <c r="D576" s="151"/>
      <c r="E576" s="151"/>
      <c r="F576" s="151"/>
      <c r="G576" s="151"/>
      <c r="H576" s="151"/>
      <c r="I576" s="151"/>
      <c r="J576" s="151"/>
      <c r="K576" s="152"/>
    </row>
    <row r="577" spans="1:76" ht="14.4" x14ac:dyDescent="0.3">
      <c r="A577" s="53"/>
      <c r="C577" s="54" t="s">
        <v>140</v>
      </c>
      <c r="D577" s="54" t="s">
        <v>4</v>
      </c>
      <c r="F577" s="55">
        <v>4</v>
      </c>
      <c r="K577" s="56"/>
    </row>
    <row r="578" spans="1:76" ht="14.4" x14ac:dyDescent="0.3">
      <c r="A578" s="1" t="s">
        <v>910</v>
      </c>
      <c r="B578" s="2" t="s">
        <v>911</v>
      </c>
      <c r="C578" s="75" t="s">
        <v>912</v>
      </c>
      <c r="D578" s="70"/>
      <c r="E578" s="2" t="s">
        <v>278</v>
      </c>
      <c r="F578" s="50">
        <v>1</v>
      </c>
      <c r="G578" s="50">
        <v>0</v>
      </c>
      <c r="H578" s="50">
        <f>ROUND(F578*AO578,2)</f>
        <v>0</v>
      </c>
      <c r="I578" s="50">
        <f>ROUND(F578*AP578,2)</f>
        <v>0</v>
      </c>
      <c r="J578" s="50">
        <f>ROUND(F578*G578,2)</f>
        <v>0</v>
      </c>
      <c r="K578" s="51" t="s">
        <v>116</v>
      </c>
      <c r="Z578" s="50">
        <f>ROUND(IF(AQ578="5",BJ578,0),2)</f>
        <v>0</v>
      </c>
      <c r="AB578" s="50">
        <f>ROUND(IF(AQ578="1",BH578,0),2)</f>
        <v>0</v>
      </c>
      <c r="AC578" s="50">
        <f>ROUND(IF(AQ578="1",BI578,0),2)</f>
        <v>0</v>
      </c>
      <c r="AD578" s="50">
        <f>ROUND(IF(AQ578="7",BH578,0),2)</f>
        <v>0</v>
      </c>
      <c r="AE578" s="50">
        <f>ROUND(IF(AQ578="7",BI578,0),2)</f>
        <v>0</v>
      </c>
      <c r="AF578" s="50">
        <f>ROUND(IF(AQ578="2",BH578,0),2)</f>
        <v>0</v>
      </c>
      <c r="AG578" s="50">
        <f>ROUND(IF(AQ578="2",BI578,0),2)</f>
        <v>0</v>
      </c>
      <c r="AH578" s="50">
        <f>ROUND(IF(AQ578="0",BJ578,0),2)</f>
        <v>0</v>
      </c>
      <c r="AI578" s="32" t="s">
        <v>4</v>
      </c>
      <c r="AJ578" s="50">
        <f>IF(AN578=0,J578,0)</f>
        <v>0</v>
      </c>
      <c r="AK578" s="50">
        <f>IF(AN578=12,J578,0)</f>
        <v>0</v>
      </c>
      <c r="AL578" s="50">
        <f>IF(AN578=21,J578,0)</f>
        <v>0</v>
      </c>
      <c r="AN578" s="50">
        <v>21</v>
      </c>
      <c r="AO578" s="50">
        <f>G578*0.87563956</f>
        <v>0</v>
      </c>
      <c r="AP578" s="50">
        <f>G578*(1-0.87563956)</f>
        <v>0</v>
      </c>
      <c r="AQ578" s="52" t="s">
        <v>158</v>
      </c>
      <c r="AV578" s="50">
        <f>ROUND(AW578+AX578,2)</f>
        <v>0</v>
      </c>
      <c r="AW578" s="50">
        <f>ROUND(F578*AO578,2)</f>
        <v>0</v>
      </c>
      <c r="AX578" s="50">
        <f>ROUND(F578*AP578,2)</f>
        <v>0</v>
      </c>
      <c r="AY578" s="52" t="s">
        <v>875</v>
      </c>
      <c r="AZ578" s="52" t="s">
        <v>749</v>
      </c>
      <c r="BA578" s="32" t="s">
        <v>119</v>
      </c>
      <c r="BC578" s="50">
        <f>AW578+AX578</f>
        <v>0</v>
      </c>
      <c r="BD578" s="50">
        <f>G578/(100-BE578)*100</f>
        <v>0</v>
      </c>
      <c r="BE578" s="50">
        <v>0</v>
      </c>
      <c r="BF578" s="50">
        <f>578</f>
        <v>578</v>
      </c>
      <c r="BH578" s="50">
        <f>F578*AO578</f>
        <v>0</v>
      </c>
      <c r="BI578" s="50">
        <f>F578*AP578</f>
        <v>0</v>
      </c>
      <c r="BJ578" s="50">
        <f>F578*G578</f>
        <v>0</v>
      </c>
      <c r="BK578" s="50"/>
      <c r="BL578" s="50">
        <v>725</v>
      </c>
      <c r="BW578" s="50">
        <v>21</v>
      </c>
      <c r="BX578" s="3" t="s">
        <v>912</v>
      </c>
    </row>
    <row r="579" spans="1:76" ht="13.5" customHeight="1" x14ac:dyDescent="0.3">
      <c r="A579" s="53"/>
      <c r="B579" s="57" t="s">
        <v>198</v>
      </c>
      <c r="C579" s="150" t="s">
        <v>909</v>
      </c>
      <c r="D579" s="151"/>
      <c r="E579" s="151"/>
      <c r="F579" s="151"/>
      <c r="G579" s="151"/>
      <c r="H579" s="151"/>
      <c r="I579" s="151"/>
      <c r="J579" s="151"/>
      <c r="K579" s="152"/>
    </row>
    <row r="580" spans="1:76" ht="14.4" x14ac:dyDescent="0.3">
      <c r="A580" s="53"/>
      <c r="C580" s="54" t="s">
        <v>112</v>
      </c>
      <c r="D580" s="54" t="s">
        <v>4</v>
      </c>
      <c r="F580" s="55">
        <v>1</v>
      </c>
      <c r="K580" s="56"/>
    </row>
    <row r="581" spans="1:76" ht="14.4" x14ac:dyDescent="0.3">
      <c r="A581" s="1" t="s">
        <v>913</v>
      </c>
      <c r="B581" s="2" t="s">
        <v>914</v>
      </c>
      <c r="C581" s="75" t="s">
        <v>915</v>
      </c>
      <c r="D581" s="70"/>
      <c r="E581" s="2" t="s">
        <v>278</v>
      </c>
      <c r="F581" s="50">
        <v>2</v>
      </c>
      <c r="G581" s="50">
        <v>0</v>
      </c>
      <c r="H581" s="50">
        <f>ROUND(F581*AO581,2)</f>
        <v>0</v>
      </c>
      <c r="I581" s="50">
        <f>ROUND(F581*AP581,2)</f>
        <v>0</v>
      </c>
      <c r="J581" s="50">
        <f>ROUND(F581*G581,2)</f>
        <v>0</v>
      </c>
      <c r="K581" s="51" t="s">
        <v>116</v>
      </c>
      <c r="Z581" s="50">
        <f>ROUND(IF(AQ581="5",BJ581,0),2)</f>
        <v>0</v>
      </c>
      <c r="AB581" s="50">
        <f>ROUND(IF(AQ581="1",BH581,0),2)</f>
        <v>0</v>
      </c>
      <c r="AC581" s="50">
        <f>ROUND(IF(AQ581="1",BI581,0),2)</f>
        <v>0</v>
      </c>
      <c r="AD581" s="50">
        <f>ROUND(IF(AQ581="7",BH581,0),2)</f>
        <v>0</v>
      </c>
      <c r="AE581" s="50">
        <f>ROUND(IF(AQ581="7",BI581,0),2)</f>
        <v>0</v>
      </c>
      <c r="AF581" s="50">
        <f>ROUND(IF(AQ581="2",BH581,0),2)</f>
        <v>0</v>
      </c>
      <c r="AG581" s="50">
        <f>ROUND(IF(AQ581="2",BI581,0),2)</f>
        <v>0</v>
      </c>
      <c r="AH581" s="50">
        <f>ROUND(IF(AQ581="0",BJ581,0),2)</f>
        <v>0</v>
      </c>
      <c r="AI581" s="32" t="s">
        <v>4</v>
      </c>
      <c r="AJ581" s="50">
        <f>IF(AN581=0,J581,0)</f>
        <v>0</v>
      </c>
      <c r="AK581" s="50">
        <f>IF(AN581=12,J581,0)</f>
        <v>0</v>
      </c>
      <c r="AL581" s="50">
        <f>IF(AN581=21,J581,0)</f>
        <v>0</v>
      </c>
      <c r="AN581" s="50">
        <v>21</v>
      </c>
      <c r="AO581" s="50">
        <f>G581*0.839828326</f>
        <v>0</v>
      </c>
      <c r="AP581" s="50">
        <f>G581*(1-0.839828326)</f>
        <v>0</v>
      </c>
      <c r="AQ581" s="52" t="s">
        <v>158</v>
      </c>
      <c r="AV581" s="50">
        <f>ROUND(AW581+AX581,2)</f>
        <v>0</v>
      </c>
      <c r="AW581" s="50">
        <f>ROUND(F581*AO581,2)</f>
        <v>0</v>
      </c>
      <c r="AX581" s="50">
        <f>ROUND(F581*AP581,2)</f>
        <v>0</v>
      </c>
      <c r="AY581" s="52" t="s">
        <v>875</v>
      </c>
      <c r="AZ581" s="52" t="s">
        <v>749</v>
      </c>
      <c r="BA581" s="32" t="s">
        <v>119</v>
      </c>
      <c r="BC581" s="50">
        <f>AW581+AX581</f>
        <v>0</v>
      </c>
      <c r="BD581" s="50">
        <f>G581/(100-BE581)*100</f>
        <v>0</v>
      </c>
      <c r="BE581" s="50">
        <v>0</v>
      </c>
      <c r="BF581" s="50">
        <f>581</f>
        <v>581</v>
      </c>
      <c r="BH581" s="50">
        <f>F581*AO581</f>
        <v>0</v>
      </c>
      <c r="BI581" s="50">
        <f>F581*AP581</f>
        <v>0</v>
      </c>
      <c r="BJ581" s="50">
        <f>F581*G581</f>
        <v>0</v>
      </c>
      <c r="BK581" s="50"/>
      <c r="BL581" s="50">
        <v>725</v>
      </c>
      <c r="BW581" s="50">
        <v>21</v>
      </c>
      <c r="BX581" s="3" t="s">
        <v>915</v>
      </c>
    </row>
    <row r="582" spans="1:76" ht="13.5" customHeight="1" x14ac:dyDescent="0.3">
      <c r="A582" s="53"/>
      <c r="B582" s="57" t="s">
        <v>198</v>
      </c>
      <c r="C582" s="150" t="s">
        <v>909</v>
      </c>
      <c r="D582" s="151"/>
      <c r="E582" s="151"/>
      <c r="F582" s="151"/>
      <c r="G582" s="151"/>
      <c r="H582" s="151"/>
      <c r="I582" s="151"/>
      <c r="J582" s="151"/>
      <c r="K582" s="152"/>
    </row>
    <row r="583" spans="1:76" ht="14.4" x14ac:dyDescent="0.3">
      <c r="A583" s="53"/>
      <c r="C583" s="54" t="s">
        <v>132</v>
      </c>
      <c r="D583" s="54" t="s">
        <v>4</v>
      </c>
      <c r="F583" s="55">
        <v>2</v>
      </c>
      <c r="K583" s="56"/>
    </row>
    <row r="584" spans="1:76" ht="14.4" x14ac:dyDescent="0.3">
      <c r="A584" s="1" t="s">
        <v>916</v>
      </c>
      <c r="B584" s="2" t="s">
        <v>917</v>
      </c>
      <c r="C584" s="75" t="s">
        <v>918</v>
      </c>
      <c r="D584" s="70"/>
      <c r="E584" s="2" t="s">
        <v>278</v>
      </c>
      <c r="F584" s="50">
        <v>2</v>
      </c>
      <c r="G584" s="50">
        <v>0</v>
      </c>
      <c r="H584" s="50">
        <f>ROUND(F584*AO584,2)</f>
        <v>0</v>
      </c>
      <c r="I584" s="50">
        <f>ROUND(F584*AP584,2)</f>
        <v>0</v>
      </c>
      <c r="J584" s="50">
        <f>ROUND(F584*G584,2)</f>
        <v>0</v>
      </c>
      <c r="K584" s="51" t="s">
        <v>116</v>
      </c>
      <c r="Z584" s="50">
        <f>ROUND(IF(AQ584="5",BJ584,0),2)</f>
        <v>0</v>
      </c>
      <c r="AB584" s="50">
        <f>ROUND(IF(AQ584="1",BH584,0),2)</f>
        <v>0</v>
      </c>
      <c r="AC584" s="50">
        <f>ROUND(IF(AQ584="1",BI584,0),2)</f>
        <v>0</v>
      </c>
      <c r="AD584" s="50">
        <f>ROUND(IF(AQ584="7",BH584,0),2)</f>
        <v>0</v>
      </c>
      <c r="AE584" s="50">
        <f>ROUND(IF(AQ584="7",BI584,0),2)</f>
        <v>0</v>
      </c>
      <c r="AF584" s="50">
        <f>ROUND(IF(AQ584="2",BH584,0),2)</f>
        <v>0</v>
      </c>
      <c r="AG584" s="50">
        <f>ROUND(IF(AQ584="2",BI584,0),2)</f>
        <v>0</v>
      </c>
      <c r="AH584" s="50">
        <f>ROUND(IF(AQ584="0",BJ584,0),2)</f>
        <v>0</v>
      </c>
      <c r="AI584" s="32" t="s">
        <v>4</v>
      </c>
      <c r="AJ584" s="50">
        <f>IF(AN584=0,J584,0)</f>
        <v>0</v>
      </c>
      <c r="AK584" s="50">
        <f>IF(AN584=12,J584,0)</f>
        <v>0</v>
      </c>
      <c r="AL584" s="50">
        <f>IF(AN584=21,J584,0)</f>
        <v>0</v>
      </c>
      <c r="AN584" s="50">
        <v>21</v>
      </c>
      <c r="AO584" s="50">
        <f>G584*0.856522936</f>
        <v>0</v>
      </c>
      <c r="AP584" s="50">
        <f>G584*(1-0.856522936)</f>
        <v>0</v>
      </c>
      <c r="AQ584" s="52" t="s">
        <v>158</v>
      </c>
      <c r="AV584" s="50">
        <f>ROUND(AW584+AX584,2)</f>
        <v>0</v>
      </c>
      <c r="AW584" s="50">
        <f>ROUND(F584*AO584,2)</f>
        <v>0</v>
      </c>
      <c r="AX584" s="50">
        <f>ROUND(F584*AP584,2)</f>
        <v>0</v>
      </c>
      <c r="AY584" s="52" t="s">
        <v>875</v>
      </c>
      <c r="AZ584" s="52" t="s">
        <v>749</v>
      </c>
      <c r="BA584" s="32" t="s">
        <v>119</v>
      </c>
      <c r="BC584" s="50">
        <f>AW584+AX584</f>
        <v>0</v>
      </c>
      <c r="BD584" s="50">
        <f>G584/(100-BE584)*100</f>
        <v>0</v>
      </c>
      <c r="BE584" s="50">
        <v>0</v>
      </c>
      <c r="BF584" s="50">
        <f>584</f>
        <v>584</v>
      </c>
      <c r="BH584" s="50">
        <f>F584*AO584</f>
        <v>0</v>
      </c>
      <c r="BI584" s="50">
        <f>F584*AP584</f>
        <v>0</v>
      </c>
      <c r="BJ584" s="50">
        <f>F584*G584</f>
        <v>0</v>
      </c>
      <c r="BK584" s="50"/>
      <c r="BL584" s="50">
        <v>725</v>
      </c>
      <c r="BW584" s="50">
        <v>21</v>
      </c>
      <c r="BX584" s="3" t="s">
        <v>918</v>
      </c>
    </row>
    <row r="585" spans="1:76" ht="13.5" customHeight="1" x14ac:dyDescent="0.3">
      <c r="A585" s="53"/>
      <c r="B585" s="57" t="s">
        <v>198</v>
      </c>
      <c r="C585" s="150" t="s">
        <v>919</v>
      </c>
      <c r="D585" s="151"/>
      <c r="E585" s="151"/>
      <c r="F585" s="151"/>
      <c r="G585" s="151"/>
      <c r="H585" s="151"/>
      <c r="I585" s="151"/>
      <c r="J585" s="151"/>
      <c r="K585" s="152"/>
    </row>
    <row r="586" spans="1:76" ht="14.4" x14ac:dyDescent="0.3">
      <c r="A586" s="53"/>
      <c r="C586" s="54" t="s">
        <v>132</v>
      </c>
      <c r="D586" s="54" t="s">
        <v>4</v>
      </c>
      <c r="F586" s="55">
        <v>2</v>
      </c>
      <c r="K586" s="56"/>
    </row>
    <row r="587" spans="1:76" ht="14.4" x14ac:dyDescent="0.3">
      <c r="A587" s="1" t="s">
        <v>920</v>
      </c>
      <c r="B587" s="2" t="s">
        <v>921</v>
      </c>
      <c r="C587" s="75" t="s">
        <v>922</v>
      </c>
      <c r="D587" s="70"/>
      <c r="E587" s="2" t="s">
        <v>278</v>
      </c>
      <c r="F587" s="50">
        <v>4</v>
      </c>
      <c r="G587" s="50">
        <v>0</v>
      </c>
      <c r="H587" s="50">
        <f>ROUND(F587*AO587,2)</f>
        <v>0</v>
      </c>
      <c r="I587" s="50">
        <f>ROUND(F587*AP587,2)</f>
        <v>0</v>
      </c>
      <c r="J587" s="50">
        <f>ROUND(F587*G587,2)</f>
        <v>0</v>
      </c>
      <c r="K587" s="51" t="s">
        <v>116</v>
      </c>
      <c r="Z587" s="50">
        <f>ROUND(IF(AQ587="5",BJ587,0),2)</f>
        <v>0</v>
      </c>
      <c r="AB587" s="50">
        <f>ROUND(IF(AQ587="1",BH587,0),2)</f>
        <v>0</v>
      </c>
      <c r="AC587" s="50">
        <f>ROUND(IF(AQ587="1",BI587,0),2)</f>
        <v>0</v>
      </c>
      <c r="AD587" s="50">
        <f>ROUND(IF(AQ587="7",BH587,0),2)</f>
        <v>0</v>
      </c>
      <c r="AE587" s="50">
        <f>ROUND(IF(AQ587="7",BI587,0),2)</f>
        <v>0</v>
      </c>
      <c r="AF587" s="50">
        <f>ROUND(IF(AQ587="2",BH587,0),2)</f>
        <v>0</v>
      </c>
      <c r="AG587" s="50">
        <f>ROUND(IF(AQ587="2",BI587,0),2)</f>
        <v>0</v>
      </c>
      <c r="AH587" s="50">
        <f>ROUND(IF(AQ587="0",BJ587,0),2)</f>
        <v>0</v>
      </c>
      <c r="AI587" s="32" t="s">
        <v>4</v>
      </c>
      <c r="AJ587" s="50">
        <f>IF(AN587=0,J587,0)</f>
        <v>0</v>
      </c>
      <c r="AK587" s="50">
        <f>IF(AN587=12,J587,0)</f>
        <v>0</v>
      </c>
      <c r="AL587" s="50">
        <f>IF(AN587=21,J587,0)</f>
        <v>0</v>
      </c>
      <c r="AN587" s="50">
        <v>21</v>
      </c>
      <c r="AO587" s="50">
        <f>G587*0.83056338</f>
        <v>0</v>
      </c>
      <c r="AP587" s="50">
        <f>G587*(1-0.83056338)</f>
        <v>0</v>
      </c>
      <c r="AQ587" s="52" t="s">
        <v>158</v>
      </c>
      <c r="AV587" s="50">
        <f>ROUND(AW587+AX587,2)</f>
        <v>0</v>
      </c>
      <c r="AW587" s="50">
        <f>ROUND(F587*AO587,2)</f>
        <v>0</v>
      </c>
      <c r="AX587" s="50">
        <f>ROUND(F587*AP587,2)</f>
        <v>0</v>
      </c>
      <c r="AY587" s="52" t="s">
        <v>875</v>
      </c>
      <c r="AZ587" s="52" t="s">
        <v>749</v>
      </c>
      <c r="BA587" s="32" t="s">
        <v>119</v>
      </c>
      <c r="BC587" s="50">
        <f>AW587+AX587</f>
        <v>0</v>
      </c>
      <c r="BD587" s="50">
        <f>G587/(100-BE587)*100</f>
        <v>0</v>
      </c>
      <c r="BE587" s="50">
        <v>0</v>
      </c>
      <c r="BF587" s="50">
        <f>587</f>
        <v>587</v>
      </c>
      <c r="BH587" s="50">
        <f>F587*AO587</f>
        <v>0</v>
      </c>
      <c r="BI587" s="50">
        <f>F587*AP587</f>
        <v>0</v>
      </c>
      <c r="BJ587" s="50">
        <f>F587*G587</f>
        <v>0</v>
      </c>
      <c r="BK587" s="50"/>
      <c r="BL587" s="50">
        <v>725</v>
      </c>
      <c r="BW587" s="50">
        <v>21</v>
      </c>
      <c r="BX587" s="3" t="s">
        <v>922</v>
      </c>
    </row>
    <row r="588" spans="1:76" ht="14.4" x14ac:dyDescent="0.3">
      <c r="A588" s="53"/>
      <c r="C588" s="54" t="s">
        <v>140</v>
      </c>
      <c r="D588" s="54" t="s">
        <v>4</v>
      </c>
      <c r="F588" s="55">
        <v>4</v>
      </c>
      <c r="K588" s="56"/>
    </row>
    <row r="589" spans="1:76" ht="14.4" x14ac:dyDescent="0.3">
      <c r="A589" s="1" t="s">
        <v>923</v>
      </c>
      <c r="B589" s="2" t="s">
        <v>924</v>
      </c>
      <c r="C589" s="75" t="s">
        <v>925</v>
      </c>
      <c r="D589" s="70"/>
      <c r="E589" s="2" t="s">
        <v>278</v>
      </c>
      <c r="F589" s="50">
        <v>2</v>
      </c>
      <c r="G589" s="50">
        <v>0</v>
      </c>
      <c r="H589" s="50">
        <f>ROUND(F589*AO589,2)</f>
        <v>0</v>
      </c>
      <c r="I589" s="50">
        <f>ROUND(F589*AP589,2)</f>
        <v>0</v>
      </c>
      <c r="J589" s="50">
        <f>ROUND(F589*G589,2)</f>
        <v>0</v>
      </c>
      <c r="K589" s="51" t="s">
        <v>116</v>
      </c>
      <c r="Z589" s="50">
        <f>ROUND(IF(AQ589="5",BJ589,0),2)</f>
        <v>0</v>
      </c>
      <c r="AB589" s="50">
        <f>ROUND(IF(AQ589="1",BH589,0),2)</f>
        <v>0</v>
      </c>
      <c r="AC589" s="50">
        <f>ROUND(IF(AQ589="1",BI589,0),2)</f>
        <v>0</v>
      </c>
      <c r="AD589" s="50">
        <f>ROUND(IF(AQ589="7",BH589,0),2)</f>
        <v>0</v>
      </c>
      <c r="AE589" s="50">
        <f>ROUND(IF(AQ589="7",BI589,0),2)</f>
        <v>0</v>
      </c>
      <c r="AF589" s="50">
        <f>ROUND(IF(AQ589="2",BH589,0),2)</f>
        <v>0</v>
      </c>
      <c r="AG589" s="50">
        <f>ROUND(IF(AQ589="2",BI589,0),2)</f>
        <v>0</v>
      </c>
      <c r="AH589" s="50">
        <f>ROUND(IF(AQ589="0",BJ589,0),2)</f>
        <v>0</v>
      </c>
      <c r="AI589" s="32" t="s">
        <v>4</v>
      </c>
      <c r="AJ589" s="50">
        <f>IF(AN589=0,J589,0)</f>
        <v>0</v>
      </c>
      <c r="AK589" s="50">
        <f>IF(AN589=12,J589,0)</f>
        <v>0</v>
      </c>
      <c r="AL589" s="50">
        <f>IF(AN589=21,J589,0)</f>
        <v>0</v>
      </c>
      <c r="AN589" s="50">
        <v>21</v>
      </c>
      <c r="AO589" s="50">
        <f>G589*0.932879828</f>
        <v>0</v>
      </c>
      <c r="AP589" s="50">
        <f>G589*(1-0.932879828)</f>
        <v>0</v>
      </c>
      <c r="AQ589" s="52" t="s">
        <v>158</v>
      </c>
      <c r="AV589" s="50">
        <f>ROUND(AW589+AX589,2)</f>
        <v>0</v>
      </c>
      <c r="AW589" s="50">
        <f>ROUND(F589*AO589,2)</f>
        <v>0</v>
      </c>
      <c r="AX589" s="50">
        <f>ROUND(F589*AP589,2)</f>
        <v>0</v>
      </c>
      <c r="AY589" s="52" t="s">
        <v>875</v>
      </c>
      <c r="AZ589" s="52" t="s">
        <v>749</v>
      </c>
      <c r="BA589" s="32" t="s">
        <v>119</v>
      </c>
      <c r="BC589" s="50">
        <f>AW589+AX589</f>
        <v>0</v>
      </c>
      <c r="BD589" s="50">
        <f>G589/(100-BE589)*100</f>
        <v>0</v>
      </c>
      <c r="BE589" s="50">
        <v>0</v>
      </c>
      <c r="BF589" s="50">
        <f>589</f>
        <v>589</v>
      </c>
      <c r="BH589" s="50">
        <f>F589*AO589</f>
        <v>0</v>
      </c>
      <c r="BI589" s="50">
        <f>F589*AP589</f>
        <v>0</v>
      </c>
      <c r="BJ589" s="50">
        <f>F589*G589</f>
        <v>0</v>
      </c>
      <c r="BK589" s="50"/>
      <c r="BL589" s="50">
        <v>725</v>
      </c>
      <c r="BW589" s="50">
        <v>21</v>
      </c>
      <c r="BX589" s="3" t="s">
        <v>925</v>
      </c>
    </row>
    <row r="590" spans="1:76" ht="14.4" x14ac:dyDescent="0.3">
      <c r="A590" s="53"/>
      <c r="C590" s="54" t="s">
        <v>132</v>
      </c>
      <c r="D590" s="54" t="s">
        <v>4</v>
      </c>
      <c r="F590" s="55">
        <v>2</v>
      </c>
      <c r="K590" s="56"/>
    </row>
    <row r="591" spans="1:76" ht="14.4" x14ac:dyDescent="0.3">
      <c r="A591" s="1" t="s">
        <v>926</v>
      </c>
      <c r="B591" s="2" t="s">
        <v>927</v>
      </c>
      <c r="C591" s="75" t="s">
        <v>928</v>
      </c>
      <c r="D591" s="70"/>
      <c r="E591" s="2" t="s">
        <v>874</v>
      </c>
      <c r="F591" s="50">
        <v>1</v>
      </c>
      <c r="G591" s="50">
        <v>0</v>
      </c>
      <c r="H591" s="50">
        <f>ROUND(F591*AO591,2)</f>
        <v>0</v>
      </c>
      <c r="I591" s="50">
        <f>ROUND(F591*AP591,2)</f>
        <v>0</v>
      </c>
      <c r="J591" s="50">
        <f>ROUND(F591*G591,2)</f>
        <v>0</v>
      </c>
      <c r="K591" s="51" t="s">
        <v>116</v>
      </c>
      <c r="Z591" s="50">
        <f>ROUND(IF(AQ591="5",BJ591,0),2)</f>
        <v>0</v>
      </c>
      <c r="AB591" s="50">
        <f>ROUND(IF(AQ591="1",BH591,0),2)</f>
        <v>0</v>
      </c>
      <c r="AC591" s="50">
        <f>ROUND(IF(AQ591="1",BI591,0),2)</f>
        <v>0</v>
      </c>
      <c r="AD591" s="50">
        <f>ROUND(IF(AQ591="7",BH591,0),2)</f>
        <v>0</v>
      </c>
      <c r="AE591" s="50">
        <f>ROUND(IF(AQ591="7",BI591,0),2)</f>
        <v>0</v>
      </c>
      <c r="AF591" s="50">
        <f>ROUND(IF(AQ591="2",BH591,0),2)</f>
        <v>0</v>
      </c>
      <c r="AG591" s="50">
        <f>ROUND(IF(AQ591="2",BI591,0),2)</f>
        <v>0</v>
      </c>
      <c r="AH591" s="50">
        <f>ROUND(IF(AQ591="0",BJ591,0),2)</f>
        <v>0</v>
      </c>
      <c r="AI591" s="32" t="s">
        <v>4</v>
      </c>
      <c r="AJ591" s="50">
        <f>IF(AN591=0,J591,0)</f>
        <v>0</v>
      </c>
      <c r="AK591" s="50">
        <f>IF(AN591=12,J591,0)</f>
        <v>0</v>
      </c>
      <c r="AL591" s="50">
        <f>IF(AN591=21,J591,0)</f>
        <v>0</v>
      </c>
      <c r="AN591" s="50">
        <v>21</v>
      </c>
      <c r="AO591" s="50">
        <f>G591*0.923976415</f>
        <v>0</v>
      </c>
      <c r="AP591" s="50">
        <f>G591*(1-0.923976415)</f>
        <v>0</v>
      </c>
      <c r="AQ591" s="52" t="s">
        <v>158</v>
      </c>
      <c r="AV591" s="50">
        <f>ROUND(AW591+AX591,2)</f>
        <v>0</v>
      </c>
      <c r="AW591" s="50">
        <f>ROUND(F591*AO591,2)</f>
        <v>0</v>
      </c>
      <c r="AX591" s="50">
        <f>ROUND(F591*AP591,2)</f>
        <v>0</v>
      </c>
      <c r="AY591" s="52" t="s">
        <v>875</v>
      </c>
      <c r="AZ591" s="52" t="s">
        <v>749</v>
      </c>
      <c r="BA591" s="32" t="s">
        <v>119</v>
      </c>
      <c r="BC591" s="50">
        <f>AW591+AX591</f>
        <v>0</v>
      </c>
      <c r="BD591" s="50">
        <f>G591/(100-BE591)*100</f>
        <v>0</v>
      </c>
      <c r="BE591" s="50">
        <v>0</v>
      </c>
      <c r="BF591" s="50">
        <f>591</f>
        <v>591</v>
      </c>
      <c r="BH591" s="50">
        <f>F591*AO591</f>
        <v>0</v>
      </c>
      <c r="BI591" s="50">
        <f>F591*AP591</f>
        <v>0</v>
      </c>
      <c r="BJ591" s="50">
        <f>F591*G591</f>
        <v>0</v>
      </c>
      <c r="BK591" s="50"/>
      <c r="BL591" s="50">
        <v>725</v>
      </c>
      <c r="BW591" s="50">
        <v>21</v>
      </c>
      <c r="BX591" s="3" t="s">
        <v>928</v>
      </c>
    </row>
    <row r="592" spans="1:76" ht="14.4" x14ac:dyDescent="0.3">
      <c r="A592" s="53"/>
      <c r="C592" s="54" t="s">
        <v>112</v>
      </c>
      <c r="D592" s="54" t="s">
        <v>4</v>
      </c>
      <c r="F592" s="55">
        <v>1</v>
      </c>
      <c r="K592" s="56"/>
    </row>
    <row r="593" spans="1:76" ht="14.4" x14ac:dyDescent="0.3">
      <c r="A593" s="1" t="s">
        <v>929</v>
      </c>
      <c r="B593" s="2" t="s">
        <v>930</v>
      </c>
      <c r="C593" s="75" t="s">
        <v>931</v>
      </c>
      <c r="D593" s="70"/>
      <c r="E593" s="2" t="s">
        <v>278</v>
      </c>
      <c r="F593" s="50">
        <v>4</v>
      </c>
      <c r="G593" s="50">
        <v>0</v>
      </c>
      <c r="H593" s="50">
        <f>ROUND(F593*AO593,2)</f>
        <v>0</v>
      </c>
      <c r="I593" s="50">
        <f>ROUND(F593*AP593,2)</f>
        <v>0</v>
      </c>
      <c r="J593" s="50">
        <f>ROUND(F593*G593,2)</f>
        <v>0</v>
      </c>
      <c r="K593" s="51" t="s">
        <v>116</v>
      </c>
      <c r="Z593" s="50">
        <f>ROUND(IF(AQ593="5",BJ593,0),2)</f>
        <v>0</v>
      </c>
      <c r="AB593" s="50">
        <f>ROUND(IF(AQ593="1",BH593,0),2)</f>
        <v>0</v>
      </c>
      <c r="AC593" s="50">
        <f>ROUND(IF(AQ593="1",BI593,0),2)</f>
        <v>0</v>
      </c>
      <c r="AD593" s="50">
        <f>ROUND(IF(AQ593="7",BH593,0),2)</f>
        <v>0</v>
      </c>
      <c r="AE593" s="50">
        <f>ROUND(IF(AQ593="7",BI593,0),2)</f>
        <v>0</v>
      </c>
      <c r="AF593" s="50">
        <f>ROUND(IF(AQ593="2",BH593,0),2)</f>
        <v>0</v>
      </c>
      <c r="AG593" s="50">
        <f>ROUND(IF(AQ593="2",BI593,0),2)</f>
        <v>0</v>
      </c>
      <c r="AH593" s="50">
        <f>ROUND(IF(AQ593="0",BJ593,0),2)</f>
        <v>0</v>
      </c>
      <c r="AI593" s="32" t="s">
        <v>4</v>
      </c>
      <c r="AJ593" s="50">
        <f>IF(AN593=0,J593,0)</f>
        <v>0</v>
      </c>
      <c r="AK593" s="50">
        <f>IF(AN593=12,J593,0)</f>
        <v>0</v>
      </c>
      <c r="AL593" s="50">
        <f>IF(AN593=21,J593,0)</f>
        <v>0</v>
      </c>
      <c r="AN593" s="50">
        <v>21</v>
      </c>
      <c r="AO593" s="50">
        <f>G593*0.190446735</f>
        <v>0</v>
      </c>
      <c r="AP593" s="50">
        <f>G593*(1-0.190446735)</f>
        <v>0</v>
      </c>
      <c r="AQ593" s="52" t="s">
        <v>158</v>
      </c>
      <c r="AV593" s="50">
        <f>ROUND(AW593+AX593,2)</f>
        <v>0</v>
      </c>
      <c r="AW593" s="50">
        <f>ROUND(F593*AO593,2)</f>
        <v>0</v>
      </c>
      <c r="AX593" s="50">
        <f>ROUND(F593*AP593,2)</f>
        <v>0</v>
      </c>
      <c r="AY593" s="52" t="s">
        <v>875</v>
      </c>
      <c r="AZ593" s="52" t="s">
        <v>749</v>
      </c>
      <c r="BA593" s="32" t="s">
        <v>119</v>
      </c>
      <c r="BC593" s="50">
        <f>AW593+AX593</f>
        <v>0</v>
      </c>
      <c r="BD593" s="50">
        <f>G593/(100-BE593)*100</f>
        <v>0</v>
      </c>
      <c r="BE593" s="50">
        <v>0</v>
      </c>
      <c r="BF593" s="50">
        <f>593</f>
        <v>593</v>
      </c>
      <c r="BH593" s="50">
        <f>F593*AO593</f>
        <v>0</v>
      </c>
      <c r="BI593" s="50">
        <f>F593*AP593</f>
        <v>0</v>
      </c>
      <c r="BJ593" s="50">
        <f>F593*G593</f>
        <v>0</v>
      </c>
      <c r="BK593" s="50"/>
      <c r="BL593" s="50">
        <v>725</v>
      </c>
      <c r="BW593" s="50">
        <v>21</v>
      </c>
      <c r="BX593" s="3" t="s">
        <v>931</v>
      </c>
    </row>
    <row r="594" spans="1:76" ht="14.4" x14ac:dyDescent="0.3">
      <c r="A594" s="53"/>
      <c r="C594" s="54" t="s">
        <v>140</v>
      </c>
      <c r="D594" s="54" t="s">
        <v>4</v>
      </c>
      <c r="F594" s="55">
        <v>4</v>
      </c>
      <c r="K594" s="56"/>
    </row>
    <row r="595" spans="1:76" ht="14.4" x14ac:dyDescent="0.3">
      <c r="A595" s="1" t="s">
        <v>932</v>
      </c>
      <c r="B595" s="2" t="s">
        <v>933</v>
      </c>
      <c r="C595" s="75" t="s">
        <v>934</v>
      </c>
      <c r="D595" s="70"/>
      <c r="E595" s="2" t="s">
        <v>874</v>
      </c>
      <c r="F595" s="50">
        <v>1</v>
      </c>
      <c r="G595" s="50">
        <v>0</v>
      </c>
      <c r="H595" s="50">
        <f>ROUND(F595*AO595,2)</f>
        <v>0</v>
      </c>
      <c r="I595" s="50">
        <f>ROUND(F595*AP595,2)</f>
        <v>0</v>
      </c>
      <c r="J595" s="50">
        <f>ROUND(F595*G595,2)</f>
        <v>0</v>
      </c>
      <c r="K595" s="51" t="s">
        <v>116</v>
      </c>
      <c r="Z595" s="50">
        <f>ROUND(IF(AQ595="5",BJ595,0),2)</f>
        <v>0</v>
      </c>
      <c r="AB595" s="50">
        <f>ROUND(IF(AQ595="1",BH595,0),2)</f>
        <v>0</v>
      </c>
      <c r="AC595" s="50">
        <f>ROUND(IF(AQ595="1",BI595,0),2)</f>
        <v>0</v>
      </c>
      <c r="AD595" s="50">
        <f>ROUND(IF(AQ595="7",BH595,0),2)</f>
        <v>0</v>
      </c>
      <c r="AE595" s="50">
        <f>ROUND(IF(AQ595="7",BI595,0),2)</f>
        <v>0</v>
      </c>
      <c r="AF595" s="50">
        <f>ROUND(IF(AQ595="2",BH595,0),2)</f>
        <v>0</v>
      </c>
      <c r="AG595" s="50">
        <f>ROUND(IF(AQ595="2",BI595,0),2)</f>
        <v>0</v>
      </c>
      <c r="AH595" s="50">
        <f>ROUND(IF(AQ595="0",BJ595,0),2)</f>
        <v>0</v>
      </c>
      <c r="AI595" s="32" t="s">
        <v>4</v>
      </c>
      <c r="AJ595" s="50">
        <f>IF(AN595=0,J595,0)</f>
        <v>0</v>
      </c>
      <c r="AK595" s="50">
        <f>IF(AN595=12,J595,0)</f>
        <v>0</v>
      </c>
      <c r="AL595" s="50">
        <f>IF(AN595=21,J595,0)</f>
        <v>0</v>
      </c>
      <c r="AN595" s="50">
        <v>21</v>
      </c>
      <c r="AO595" s="50">
        <f>G595*0.910336579</f>
        <v>0</v>
      </c>
      <c r="AP595" s="50">
        <f>G595*(1-0.910336579)</f>
        <v>0</v>
      </c>
      <c r="AQ595" s="52" t="s">
        <v>158</v>
      </c>
      <c r="AV595" s="50">
        <f>ROUND(AW595+AX595,2)</f>
        <v>0</v>
      </c>
      <c r="AW595" s="50">
        <f>ROUND(F595*AO595,2)</f>
        <v>0</v>
      </c>
      <c r="AX595" s="50">
        <f>ROUND(F595*AP595,2)</f>
        <v>0</v>
      </c>
      <c r="AY595" s="52" t="s">
        <v>875</v>
      </c>
      <c r="AZ595" s="52" t="s">
        <v>749</v>
      </c>
      <c r="BA595" s="32" t="s">
        <v>119</v>
      </c>
      <c r="BC595" s="50">
        <f>AW595+AX595</f>
        <v>0</v>
      </c>
      <c r="BD595" s="50">
        <f>G595/(100-BE595)*100</f>
        <v>0</v>
      </c>
      <c r="BE595" s="50">
        <v>0</v>
      </c>
      <c r="BF595" s="50">
        <f>595</f>
        <v>595</v>
      </c>
      <c r="BH595" s="50">
        <f>F595*AO595</f>
        <v>0</v>
      </c>
      <c r="BI595" s="50">
        <f>F595*AP595</f>
        <v>0</v>
      </c>
      <c r="BJ595" s="50">
        <f>F595*G595</f>
        <v>0</v>
      </c>
      <c r="BK595" s="50"/>
      <c r="BL595" s="50">
        <v>725</v>
      </c>
      <c r="BW595" s="50">
        <v>21</v>
      </c>
      <c r="BX595" s="3" t="s">
        <v>934</v>
      </c>
    </row>
    <row r="596" spans="1:76" ht="14.4" x14ac:dyDescent="0.3">
      <c r="A596" s="53"/>
      <c r="C596" s="54" t="s">
        <v>112</v>
      </c>
      <c r="D596" s="54" t="s">
        <v>4</v>
      </c>
      <c r="F596" s="55">
        <v>1</v>
      </c>
      <c r="K596" s="56"/>
    </row>
    <row r="597" spans="1:76" ht="14.4" x14ac:dyDescent="0.3">
      <c r="A597" s="1" t="s">
        <v>935</v>
      </c>
      <c r="B597" s="2" t="s">
        <v>936</v>
      </c>
      <c r="C597" s="75" t="s">
        <v>937</v>
      </c>
      <c r="D597" s="70"/>
      <c r="E597" s="2" t="s">
        <v>173</v>
      </c>
      <c r="F597" s="50">
        <v>0.20956</v>
      </c>
      <c r="G597" s="50">
        <v>0</v>
      </c>
      <c r="H597" s="50">
        <f>ROUND(F597*AO597,2)</f>
        <v>0</v>
      </c>
      <c r="I597" s="50">
        <f>ROUND(F597*AP597,2)</f>
        <v>0</v>
      </c>
      <c r="J597" s="50">
        <f>ROUND(F597*G597,2)</f>
        <v>0</v>
      </c>
      <c r="K597" s="51" t="s">
        <v>116</v>
      </c>
      <c r="Z597" s="50">
        <f>ROUND(IF(AQ597="5",BJ597,0),2)</f>
        <v>0</v>
      </c>
      <c r="AB597" s="50">
        <f>ROUND(IF(AQ597="1",BH597,0),2)</f>
        <v>0</v>
      </c>
      <c r="AC597" s="50">
        <f>ROUND(IF(AQ597="1",BI597,0),2)</f>
        <v>0</v>
      </c>
      <c r="AD597" s="50">
        <f>ROUND(IF(AQ597="7",BH597,0),2)</f>
        <v>0</v>
      </c>
      <c r="AE597" s="50">
        <f>ROUND(IF(AQ597="7",BI597,0),2)</f>
        <v>0</v>
      </c>
      <c r="AF597" s="50">
        <f>ROUND(IF(AQ597="2",BH597,0),2)</f>
        <v>0</v>
      </c>
      <c r="AG597" s="50">
        <f>ROUND(IF(AQ597="2",BI597,0),2)</f>
        <v>0</v>
      </c>
      <c r="AH597" s="50">
        <f>ROUND(IF(AQ597="0",BJ597,0),2)</f>
        <v>0</v>
      </c>
      <c r="AI597" s="32" t="s">
        <v>4</v>
      </c>
      <c r="AJ597" s="50">
        <f>IF(AN597=0,J597,0)</f>
        <v>0</v>
      </c>
      <c r="AK597" s="50">
        <f>IF(AN597=12,J597,0)</f>
        <v>0</v>
      </c>
      <c r="AL597" s="50">
        <f>IF(AN597=21,J597,0)</f>
        <v>0</v>
      </c>
      <c r="AN597" s="50">
        <v>21</v>
      </c>
      <c r="AO597" s="50">
        <f>G597*0</f>
        <v>0</v>
      </c>
      <c r="AP597" s="50">
        <f>G597*(1-0)</f>
        <v>0</v>
      </c>
      <c r="AQ597" s="52" t="s">
        <v>147</v>
      </c>
      <c r="AV597" s="50">
        <f>ROUND(AW597+AX597,2)</f>
        <v>0</v>
      </c>
      <c r="AW597" s="50">
        <f>ROUND(F597*AO597,2)</f>
        <v>0</v>
      </c>
      <c r="AX597" s="50">
        <f>ROUND(F597*AP597,2)</f>
        <v>0</v>
      </c>
      <c r="AY597" s="52" t="s">
        <v>875</v>
      </c>
      <c r="AZ597" s="52" t="s">
        <v>749</v>
      </c>
      <c r="BA597" s="32" t="s">
        <v>119</v>
      </c>
      <c r="BC597" s="50">
        <f>AW597+AX597</f>
        <v>0</v>
      </c>
      <c r="BD597" s="50">
        <f>G597/(100-BE597)*100</f>
        <v>0</v>
      </c>
      <c r="BE597" s="50">
        <v>0</v>
      </c>
      <c r="BF597" s="50">
        <f>597</f>
        <v>597</v>
      </c>
      <c r="BH597" s="50">
        <f>F597*AO597</f>
        <v>0</v>
      </c>
      <c r="BI597" s="50">
        <f>F597*AP597</f>
        <v>0</v>
      </c>
      <c r="BJ597" s="50">
        <f>F597*G597</f>
        <v>0</v>
      </c>
      <c r="BK597" s="50"/>
      <c r="BL597" s="50">
        <v>725</v>
      </c>
      <c r="BW597" s="50">
        <v>21</v>
      </c>
      <c r="BX597" s="3" t="s">
        <v>937</v>
      </c>
    </row>
    <row r="598" spans="1:76" ht="14.4" x14ac:dyDescent="0.3">
      <c r="A598" s="46" t="s">
        <v>4</v>
      </c>
      <c r="B598" s="47" t="s">
        <v>938</v>
      </c>
      <c r="C598" s="148" t="s">
        <v>939</v>
      </c>
      <c r="D598" s="149"/>
      <c r="E598" s="48" t="s">
        <v>74</v>
      </c>
      <c r="F598" s="48" t="s">
        <v>74</v>
      </c>
      <c r="G598" s="48" t="s">
        <v>74</v>
      </c>
      <c r="H598" s="26">
        <f>SUM(H599:H603)</f>
        <v>0</v>
      </c>
      <c r="I598" s="26">
        <f>SUM(I599:I603)</f>
        <v>0</v>
      </c>
      <c r="J598" s="26">
        <f>SUM(J599:J603)</f>
        <v>0</v>
      </c>
      <c r="K598" s="49" t="s">
        <v>4</v>
      </c>
      <c r="AI598" s="32" t="s">
        <v>4</v>
      </c>
      <c r="AS598" s="26">
        <f>SUM(AJ599:AJ603)</f>
        <v>0</v>
      </c>
      <c r="AT598" s="26">
        <f>SUM(AK599:AK603)</f>
        <v>0</v>
      </c>
      <c r="AU598" s="26">
        <f>SUM(AL599:AL603)</f>
        <v>0</v>
      </c>
    </row>
    <row r="599" spans="1:76" ht="14.4" x14ac:dyDescent="0.3">
      <c r="A599" s="1" t="s">
        <v>940</v>
      </c>
      <c r="B599" s="2" t="s">
        <v>941</v>
      </c>
      <c r="C599" s="75" t="s">
        <v>942</v>
      </c>
      <c r="D599" s="70"/>
      <c r="E599" s="2" t="s">
        <v>874</v>
      </c>
      <c r="F599" s="50">
        <v>4</v>
      </c>
      <c r="G599" s="50">
        <v>0</v>
      </c>
      <c r="H599" s="50">
        <f>ROUND(F599*AO599,2)</f>
        <v>0</v>
      </c>
      <c r="I599" s="50">
        <f>ROUND(F599*AP599,2)</f>
        <v>0</v>
      </c>
      <c r="J599" s="50">
        <f>ROUND(F599*G599,2)</f>
        <v>0</v>
      </c>
      <c r="K599" s="51" t="s">
        <v>116</v>
      </c>
      <c r="Z599" s="50">
        <f>ROUND(IF(AQ599="5",BJ599,0),2)</f>
        <v>0</v>
      </c>
      <c r="AB599" s="50">
        <f>ROUND(IF(AQ599="1",BH599,0),2)</f>
        <v>0</v>
      </c>
      <c r="AC599" s="50">
        <f>ROUND(IF(AQ599="1",BI599,0),2)</f>
        <v>0</v>
      </c>
      <c r="AD599" s="50">
        <f>ROUND(IF(AQ599="7",BH599,0),2)</f>
        <v>0</v>
      </c>
      <c r="AE599" s="50">
        <f>ROUND(IF(AQ599="7",BI599,0),2)</f>
        <v>0</v>
      </c>
      <c r="AF599" s="50">
        <f>ROUND(IF(AQ599="2",BH599,0),2)</f>
        <v>0</v>
      </c>
      <c r="AG599" s="50">
        <f>ROUND(IF(AQ599="2",BI599,0),2)</f>
        <v>0</v>
      </c>
      <c r="AH599" s="50">
        <f>ROUND(IF(AQ599="0",BJ599,0),2)</f>
        <v>0</v>
      </c>
      <c r="AI599" s="32" t="s">
        <v>4</v>
      </c>
      <c r="AJ599" s="50">
        <f>IF(AN599=0,J599,0)</f>
        <v>0</v>
      </c>
      <c r="AK599" s="50">
        <f>IF(AN599=12,J599,0)</f>
        <v>0</v>
      </c>
      <c r="AL599" s="50">
        <f>IF(AN599=21,J599,0)</f>
        <v>0</v>
      </c>
      <c r="AN599" s="50">
        <v>21</v>
      </c>
      <c r="AO599" s="50">
        <f>G599*0.869689481</f>
        <v>0</v>
      </c>
      <c r="AP599" s="50">
        <f>G599*(1-0.869689481)</f>
        <v>0</v>
      </c>
      <c r="AQ599" s="52" t="s">
        <v>158</v>
      </c>
      <c r="AV599" s="50">
        <f>ROUND(AW599+AX599,2)</f>
        <v>0</v>
      </c>
      <c r="AW599" s="50">
        <f>ROUND(F599*AO599,2)</f>
        <v>0</v>
      </c>
      <c r="AX599" s="50">
        <f>ROUND(F599*AP599,2)</f>
        <v>0</v>
      </c>
      <c r="AY599" s="52" t="s">
        <v>943</v>
      </c>
      <c r="AZ599" s="52" t="s">
        <v>749</v>
      </c>
      <c r="BA599" s="32" t="s">
        <v>119</v>
      </c>
      <c r="BC599" s="50">
        <f>AW599+AX599</f>
        <v>0</v>
      </c>
      <c r="BD599" s="50">
        <f>G599/(100-BE599)*100</f>
        <v>0</v>
      </c>
      <c r="BE599" s="50">
        <v>0</v>
      </c>
      <c r="BF599" s="50">
        <f>599</f>
        <v>599</v>
      </c>
      <c r="BH599" s="50">
        <f>F599*AO599</f>
        <v>0</v>
      </c>
      <c r="BI599" s="50">
        <f>F599*AP599</f>
        <v>0</v>
      </c>
      <c r="BJ599" s="50">
        <f>F599*G599</f>
        <v>0</v>
      </c>
      <c r="BK599" s="50"/>
      <c r="BL599" s="50">
        <v>726</v>
      </c>
      <c r="BW599" s="50">
        <v>21</v>
      </c>
      <c r="BX599" s="3" t="s">
        <v>942</v>
      </c>
    </row>
    <row r="600" spans="1:76" ht="14.4" x14ac:dyDescent="0.3">
      <c r="A600" s="53"/>
      <c r="C600" s="54" t="s">
        <v>140</v>
      </c>
      <c r="D600" s="54" t="s">
        <v>4</v>
      </c>
      <c r="F600" s="55">
        <v>4</v>
      </c>
      <c r="K600" s="56"/>
    </row>
    <row r="601" spans="1:76" ht="14.4" x14ac:dyDescent="0.3">
      <c r="A601" s="1" t="s">
        <v>944</v>
      </c>
      <c r="B601" s="2" t="s">
        <v>945</v>
      </c>
      <c r="C601" s="75" t="s">
        <v>946</v>
      </c>
      <c r="D601" s="70"/>
      <c r="E601" s="2" t="s">
        <v>874</v>
      </c>
      <c r="F601" s="50">
        <v>1</v>
      </c>
      <c r="G601" s="50">
        <v>0</v>
      </c>
      <c r="H601" s="50">
        <f>ROUND(F601*AO601,2)</f>
        <v>0</v>
      </c>
      <c r="I601" s="50">
        <f>ROUND(F601*AP601,2)</f>
        <v>0</v>
      </c>
      <c r="J601" s="50">
        <f>ROUND(F601*G601,2)</f>
        <v>0</v>
      </c>
      <c r="K601" s="51" t="s">
        <v>116</v>
      </c>
      <c r="Z601" s="50">
        <f>ROUND(IF(AQ601="5",BJ601,0),2)</f>
        <v>0</v>
      </c>
      <c r="AB601" s="50">
        <f>ROUND(IF(AQ601="1",BH601,0),2)</f>
        <v>0</v>
      </c>
      <c r="AC601" s="50">
        <f>ROUND(IF(AQ601="1",BI601,0),2)</f>
        <v>0</v>
      </c>
      <c r="AD601" s="50">
        <f>ROUND(IF(AQ601="7",BH601,0),2)</f>
        <v>0</v>
      </c>
      <c r="AE601" s="50">
        <f>ROUND(IF(AQ601="7",BI601,0),2)</f>
        <v>0</v>
      </c>
      <c r="AF601" s="50">
        <f>ROUND(IF(AQ601="2",BH601,0),2)</f>
        <v>0</v>
      </c>
      <c r="AG601" s="50">
        <f>ROUND(IF(AQ601="2",BI601,0),2)</f>
        <v>0</v>
      </c>
      <c r="AH601" s="50">
        <f>ROUND(IF(AQ601="0",BJ601,0),2)</f>
        <v>0</v>
      </c>
      <c r="AI601" s="32" t="s">
        <v>4</v>
      </c>
      <c r="AJ601" s="50">
        <f>IF(AN601=0,J601,0)</f>
        <v>0</v>
      </c>
      <c r="AK601" s="50">
        <f>IF(AN601=12,J601,0)</f>
        <v>0</v>
      </c>
      <c r="AL601" s="50">
        <f>IF(AN601=21,J601,0)</f>
        <v>0</v>
      </c>
      <c r="AN601" s="50">
        <v>21</v>
      </c>
      <c r="AO601" s="50">
        <f>G601*0.872019863</f>
        <v>0</v>
      </c>
      <c r="AP601" s="50">
        <f>G601*(1-0.872019863)</f>
        <v>0</v>
      </c>
      <c r="AQ601" s="52" t="s">
        <v>158</v>
      </c>
      <c r="AV601" s="50">
        <f>ROUND(AW601+AX601,2)</f>
        <v>0</v>
      </c>
      <c r="AW601" s="50">
        <f>ROUND(F601*AO601,2)</f>
        <v>0</v>
      </c>
      <c r="AX601" s="50">
        <f>ROUND(F601*AP601,2)</f>
        <v>0</v>
      </c>
      <c r="AY601" s="52" t="s">
        <v>943</v>
      </c>
      <c r="AZ601" s="52" t="s">
        <v>749</v>
      </c>
      <c r="BA601" s="32" t="s">
        <v>119</v>
      </c>
      <c r="BC601" s="50">
        <f>AW601+AX601</f>
        <v>0</v>
      </c>
      <c r="BD601" s="50">
        <f>G601/(100-BE601)*100</f>
        <v>0</v>
      </c>
      <c r="BE601" s="50">
        <v>0</v>
      </c>
      <c r="BF601" s="50">
        <f>601</f>
        <v>601</v>
      </c>
      <c r="BH601" s="50">
        <f>F601*AO601</f>
        <v>0</v>
      </c>
      <c r="BI601" s="50">
        <f>F601*AP601</f>
        <v>0</v>
      </c>
      <c r="BJ601" s="50">
        <f>F601*G601</f>
        <v>0</v>
      </c>
      <c r="BK601" s="50"/>
      <c r="BL601" s="50">
        <v>726</v>
      </c>
      <c r="BW601" s="50">
        <v>21</v>
      </c>
      <c r="BX601" s="3" t="s">
        <v>946</v>
      </c>
    </row>
    <row r="602" spans="1:76" ht="14.4" x14ac:dyDescent="0.3">
      <c r="A602" s="53"/>
      <c r="C602" s="54" t="s">
        <v>112</v>
      </c>
      <c r="D602" s="54" t="s">
        <v>4</v>
      </c>
      <c r="F602" s="55">
        <v>1</v>
      </c>
      <c r="K602" s="56"/>
    </row>
    <row r="603" spans="1:76" ht="14.4" x14ac:dyDescent="0.3">
      <c r="A603" s="1" t="s">
        <v>947</v>
      </c>
      <c r="B603" s="2" t="s">
        <v>948</v>
      </c>
      <c r="C603" s="75" t="s">
        <v>949</v>
      </c>
      <c r="D603" s="70"/>
      <c r="E603" s="2" t="s">
        <v>173</v>
      </c>
      <c r="F603" s="50">
        <v>4.8000000000000001E-2</v>
      </c>
      <c r="G603" s="50">
        <v>0</v>
      </c>
      <c r="H603" s="50">
        <f>ROUND(F603*AO603,2)</f>
        <v>0</v>
      </c>
      <c r="I603" s="50">
        <f>ROUND(F603*AP603,2)</f>
        <v>0</v>
      </c>
      <c r="J603" s="50">
        <f>ROUND(F603*G603,2)</f>
        <v>0</v>
      </c>
      <c r="K603" s="51" t="s">
        <v>116</v>
      </c>
      <c r="Z603" s="50">
        <f>ROUND(IF(AQ603="5",BJ603,0),2)</f>
        <v>0</v>
      </c>
      <c r="AB603" s="50">
        <f>ROUND(IF(AQ603="1",BH603,0),2)</f>
        <v>0</v>
      </c>
      <c r="AC603" s="50">
        <f>ROUND(IF(AQ603="1",BI603,0),2)</f>
        <v>0</v>
      </c>
      <c r="AD603" s="50">
        <f>ROUND(IF(AQ603="7",BH603,0),2)</f>
        <v>0</v>
      </c>
      <c r="AE603" s="50">
        <f>ROUND(IF(AQ603="7",BI603,0),2)</f>
        <v>0</v>
      </c>
      <c r="AF603" s="50">
        <f>ROUND(IF(AQ603="2",BH603,0),2)</f>
        <v>0</v>
      </c>
      <c r="AG603" s="50">
        <f>ROUND(IF(AQ603="2",BI603,0),2)</f>
        <v>0</v>
      </c>
      <c r="AH603" s="50">
        <f>ROUND(IF(AQ603="0",BJ603,0),2)</f>
        <v>0</v>
      </c>
      <c r="AI603" s="32" t="s">
        <v>4</v>
      </c>
      <c r="AJ603" s="50">
        <f>IF(AN603=0,J603,0)</f>
        <v>0</v>
      </c>
      <c r="AK603" s="50">
        <f>IF(AN603=12,J603,0)</f>
        <v>0</v>
      </c>
      <c r="AL603" s="50">
        <f>IF(AN603=21,J603,0)</f>
        <v>0</v>
      </c>
      <c r="AN603" s="50">
        <v>21</v>
      </c>
      <c r="AO603" s="50">
        <f>G603*0</f>
        <v>0</v>
      </c>
      <c r="AP603" s="50">
        <f>G603*(1-0)</f>
        <v>0</v>
      </c>
      <c r="AQ603" s="52" t="s">
        <v>147</v>
      </c>
      <c r="AV603" s="50">
        <f>ROUND(AW603+AX603,2)</f>
        <v>0</v>
      </c>
      <c r="AW603" s="50">
        <f>ROUND(F603*AO603,2)</f>
        <v>0</v>
      </c>
      <c r="AX603" s="50">
        <f>ROUND(F603*AP603,2)</f>
        <v>0</v>
      </c>
      <c r="AY603" s="52" t="s">
        <v>943</v>
      </c>
      <c r="AZ603" s="52" t="s">
        <v>749</v>
      </c>
      <c r="BA603" s="32" t="s">
        <v>119</v>
      </c>
      <c r="BC603" s="50">
        <f>AW603+AX603</f>
        <v>0</v>
      </c>
      <c r="BD603" s="50">
        <f>G603/(100-BE603)*100</f>
        <v>0</v>
      </c>
      <c r="BE603" s="50">
        <v>0</v>
      </c>
      <c r="BF603" s="50">
        <f>603</f>
        <v>603</v>
      </c>
      <c r="BH603" s="50">
        <f>F603*AO603</f>
        <v>0</v>
      </c>
      <c r="BI603" s="50">
        <f>F603*AP603</f>
        <v>0</v>
      </c>
      <c r="BJ603" s="50">
        <f>F603*G603</f>
        <v>0</v>
      </c>
      <c r="BK603" s="50"/>
      <c r="BL603" s="50">
        <v>726</v>
      </c>
      <c r="BW603" s="50">
        <v>21</v>
      </c>
      <c r="BX603" s="3" t="s">
        <v>949</v>
      </c>
    </row>
    <row r="604" spans="1:76" ht="14.4" x14ac:dyDescent="0.3">
      <c r="A604" s="46" t="s">
        <v>4</v>
      </c>
      <c r="B604" s="47" t="s">
        <v>950</v>
      </c>
      <c r="C604" s="148" t="s">
        <v>951</v>
      </c>
      <c r="D604" s="149"/>
      <c r="E604" s="48" t="s">
        <v>74</v>
      </c>
      <c r="F604" s="48" t="s">
        <v>74</v>
      </c>
      <c r="G604" s="48" t="s">
        <v>74</v>
      </c>
      <c r="H604" s="26">
        <f>SUM(H605:H620)</f>
        <v>0</v>
      </c>
      <c r="I604" s="26">
        <f>SUM(I605:I620)</f>
        <v>0</v>
      </c>
      <c r="J604" s="26">
        <f>SUM(J605:J620)</f>
        <v>0</v>
      </c>
      <c r="K604" s="49" t="s">
        <v>4</v>
      </c>
      <c r="AI604" s="32" t="s">
        <v>4</v>
      </c>
      <c r="AS604" s="26">
        <f>SUM(AJ605:AJ620)</f>
        <v>0</v>
      </c>
      <c r="AT604" s="26">
        <f>SUM(AK605:AK620)</f>
        <v>0</v>
      </c>
      <c r="AU604" s="26">
        <f>SUM(AL605:AL620)</f>
        <v>0</v>
      </c>
    </row>
    <row r="605" spans="1:76" ht="14.4" x14ac:dyDescent="0.3">
      <c r="A605" s="1" t="s">
        <v>952</v>
      </c>
      <c r="B605" s="2" t="s">
        <v>953</v>
      </c>
      <c r="C605" s="75" t="s">
        <v>954</v>
      </c>
      <c r="D605" s="70"/>
      <c r="E605" s="2" t="s">
        <v>233</v>
      </c>
      <c r="F605" s="50">
        <v>0.5</v>
      </c>
      <c r="G605" s="50">
        <v>0</v>
      </c>
      <c r="H605" s="50">
        <f>ROUND(F605*AO605,2)</f>
        <v>0</v>
      </c>
      <c r="I605" s="50">
        <f>ROUND(F605*AP605,2)</f>
        <v>0</v>
      </c>
      <c r="J605" s="50">
        <f>ROUND(F605*G605,2)</f>
        <v>0</v>
      </c>
      <c r="K605" s="51" t="s">
        <v>116</v>
      </c>
      <c r="Z605" s="50">
        <f>ROUND(IF(AQ605="5",BJ605,0),2)</f>
        <v>0</v>
      </c>
      <c r="AB605" s="50">
        <f>ROUND(IF(AQ605="1",BH605,0),2)</f>
        <v>0</v>
      </c>
      <c r="AC605" s="50">
        <f>ROUND(IF(AQ605="1",BI605,0),2)</f>
        <v>0</v>
      </c>
      <c r="AD605" s="50">
        <f>ROUND(IF(AQ605="7",BH605,0),2)</f>
        <v>0</v>
      </c>
      <c r="AE605" s="50">
        <f>ROUND(IF(AQ605="7",BI605,0),2)</f>
        <v>0</v>
      </c>
      <c r="AF605" s="50">
        <f>ROUND(IF(AQ605="2",BH605,0),2)</f>
        <v>0</v>
      </c>
      <c r="AG605" s="50">
        <f>ROUND(IF(AQ605="2",BI605,0),2)</f>
        <v>0</v>
      </c>
      <c r="AH605" s="50">
        <f>ROUND(IF(AQ605="0",BJ605,0),2)</f>
        <v>0</v>
      </c>
      <c r="AI605" s="32" t="s">
        <v>4</v>
      </c>
      <c r="AJ605" s="50">
        <f>IF(AN605=0,J605,0)</f>
        <v>0</v>
      </c>
      <c r="AK605" s="50">
        <f>IF(AN605=12,J605,0)</f>
        <v>0</v>
      </c>
      <c r="AL605" s="50">
        <f>IF(AN605=21,J605,0)</f>
        <v>0</v>
      </c>
      <c r="AN605" s="50">
        <v>21</v>
      </c>
      <c r="AO605" s="50">
        <f>G605*0.395058075</f>
        <v>0</v>
      </c>
      <c r="AP605" s="50">
        <f>G605*(1-0.395058075)</f>
        <v>0</v>
      </c>
      <c r="AQ605" s="52" t="s">
        <v>158</v>
      </c>
      <c r="AV605" s="50">
        <f>ROUND(AW605+AX605,2)</f>
        <v>0</v>
      </c>
      <c r="AW605" s="50">
        <f>ROUND(F605*AO605,2)</f>
        <v>0</v>
      </c>
      <c r="AX605" s="50">
        <f>ROUND(F605*AP605,2)</f>
        <v>0</v>
      </c>
      <c r="AY605" s="52" t="s">
        <v>955</v>
      </c>
      <c r="AZ605" s="52" t="s">
        <v>749</v>
      </c>
      <c r="BA605" s="32" t="s">
        <v>119</v>
      </c>
      <c r="BC605" s="50">
        <f>AW605+AX605</f>
        <v>0</v>
      </c>
      <c r="BD605" s="50">
        <f>G605/(100-BE605)*100</f>
        <v>0</v>
      </c>
      <c r="BE605" s="50">
        <v>0</v>
      </c>
      <c r="BF605" s="50">
        <f>605</f>
        <v>605</v>
      </c>
      <c r="BH605" s="50">
        <f>F605*AO605</f>
        <v>0</v>
      </c>
      <c r="BI605" s="50">
        <f>F605*AP605</f>
        <v>0</v>
      </c>
      <c r="BJ605" s="50">
        <f>F605*G605</f>
        <v>0</v>
      </c>
      <c r="BK605" s="50"/>
      <c r="BL605" s="50">
        <v>728</v>
      </c>
      <c r="BW605" s="50">
        <v>21</v>
      </c>
      <c r="BX605" s="3" t="s">
        <v>954</v>
      </c>
    </row>
    <row r="606" spans="1:76" ht="13.5" customHeight="1" x14ac:dyDescent="0.3">
      <c r="A606" s="53"/>
      <c r="B606" s="57" t="s">
        <v>198</v>
      </c>
      <c r="C606" s="150" t="s">
        <v>956</v>
      </c>
      <c r="D606" s="151"/>
      <c r="E606" s="151"/>
      <c r="F606" s="151"/>
      <c r="G606" s="151"/>
      <c r="H606" s="151"/>
      <c r="I606" s="151"/>
      <c r="J606" s="151"/>
      <c r="K606" s="152"/>
    </row>
    <row r="607" spans="1:76" ht="14.4" x14ac:dyDescent="0.3">
      <c r="A607" s="53"/>
      <c r="C607" s="54" t="s">
        <v>957</v>
      </c>
      <c r="D607" s="54" t="s">
        <v>4</v>
      </c>
      <c r="F607" s="55">
        <v>0.5</v>
      </c>
      <c r="K607" s="56"/>
    </row>
    <row r="608" spans="1:76" ht="14.4" x14ac:dyDescent="0.3">
      <c r="A608" s="1" t="s">
        <v>958</v>
      </c>
      <c r="B608" s="2" t="s">
        <v>959</v>
      </c>
      <c r="C608" s="75" t="s">
        <v>960</v>
      </c>
      <c r="D608" s="70"/>
      <c r="E608" s="2" t="s">
        <v>278</v>
      </c>
      <c r="F608" s="50">
        <v>1</v>
      </c>
      <c r="G608" s="50">
        <v>0</v>
      </c>
      <c r="H608" s="50">
        <f>ROUND(F608*AO608,2)</f>
        <v>0</v>
      </c>
      <c r="I608" s="50">
        <f>ROUND(F608*AP608,2)</f>
        <v>0</v>
      </c>
      <c r="J608" s="50">
        <f>ROUND(F608*G608,2)</f>
        <v>0</v>
      </c>
      <c r="K608" s="51" t="s">
        <v>116</v>
      </c>
      <c r="Z608" s="50">
        <f>ROUND(IF(AQ608="5",BJ608,0),2)</f>
        <v>0</v>
      </c>
      <c r="AB608" s="50">
        <f>ROUND(IF(AQ608="1",BH608,0),2)</f>
        <v>0</v>
      </c>
      <c r="AC608" s="50">
        <f>ROUND(IF(AQ608="1",BI608,0),2)</f>
        <v>0</v>
      </c>
      <c r="AD608" s="50">
        <f>ROUND(IF(AQ608="7",BH608,0),2)</f>
        <v>0</v>
      </c>
      <c r="AE608" s="50">
        <f>ROUND(IF(AQ608="7",BI608,0),2)</f>
        <v>0</v>
      </c>
      <c r="AF608" s="50">
        <f>ROUND(IF(AQ608="2",BH608,0),2)</f>
        <v>0</v>
      </c>
      <c r="AG608" s="50">
        <f>ROUND(IF(AQ608="2",BI608,0),2)</f>
        <v>0</v>
      </c>
      <c r="AH608" s="50">
        <f>ROUND(IF(AQ608="0",BJ608,0),2)</f>
        <v>0</v>
      </c>
      <c r="AI608" s="32" t="s">
        <v>4</v>
      </c>
      <c r="AJ608" s="50">
        <f>IF(AN608=0,J608,0)</f>
        <v>0</v>
      </c>
      <c r="AK608" s="50">
        <f>IF(AN608=12,J608,0)</f>
        <v>0</v>
      </c>
      <c r="AL608" s="50">
        <f>IF(AN608=21,J608,0)</f>
        <v>0</v>
      </c>
      <c r="AN608" s="50">
        <v>21</v>
      </c>
      <c r="AO608" s="50">
        <f>G608*0</f>
        <v>0</v>
      </c>
      <c r="AP608" s="50">
        <f>G608*(1-0)</f>
        <v>0</v>
      </c>
      <c r="AQ608" s="52" t="s">
        <v>158</v>
      </c>
      <c r="AV608" s="50">
        <f>ROUND(AW608+AX608,2)</f>
        <v>0</v>
      </c>
      <c r="AW608" s="50">
        <f>ROUND(F608*AO608,2)</f>
        <v>0</v>
      </c>
      <c r="AX608" s="50">
        <f>ROUND(F608*AP608,2)</f>
        <v>0</v>
      </c>
      <c r="AY608" s="52" t="s">
        <v>955</v>
      </c>
      <c r="AZ608" s="52" t="s">
        <v>749</v>
      </c>
      <c r="BA608" s="32" t="s">
        <v>119</v>
      </c>
      <c r="BC608" s="50">
        <f>AW608+AX608</f>
        <v>0</v>
      </c>
      <c r="BD608" s="50">
        <f>G608/(100-BE608)*100</f>
        <v>0</v>
      </c>
      <c r="BE608" s="50">
        <v>0</v>
      </c>
      <c r="BF608" s="50">
        <f>608</f>
        <v>608</v>
      </c>
      <c r="BH608" s="50">
        <f>F608*AO608</f>
        <v>0</v>
      </c>
      <c r="BI608" s="50">
        <f>F608*AP608</f>
        <v>0</v>
      </c>
      <c r="BJ608" s="50">
        <f>F608*G608</f>
        <v>0</v>
      </c>
      <c r="BK608" s="50"/>
      <c r="BL608" s="50">
        <v>728</v>
      </c>
      <c r="BW608" s="50">
        <v>21</v>
      </c>
      <c r="BX608" s="3" t="s">
        <v>960</v>
      </c>
    </row>
    <row r="609" spans="1:76" ht="14.4" x14ac:dyDescent="0.3">
      <c r="A609" s="53"/>
      <c r="C609" s="54" t="s">
        <v>112</v>
      </c>
      <c r="D609" s="54" t="s">
        <v>4</v>
      </c>
      <c r="F609" s="55">
        <v>1</v>
      </c>
      <c r="K609" s="56"/>
    </row>
    <row r="610" spans="1:76" ht="14.4" x14ac:dyDescent="0.3">
      <c r="A610" s="1" t="s">
        <v>961</v>
      </c>
      <c r="B610" s="2" t="s">
        <v>962</v>
      </c>
      <c r="C610" s="75" t="s">
        <v>963</v>
      </c>
      <c r="D610" s="70"/>
      <c r="E610" s="2" t="s">
        <v>278</v>
      </c>
      <c r="F610" s="50">
        <v>1</v>
      </c>
      <c r="G610" s="50">
        <v>0</v>
      </c>
      <c r="H610" s="50">
        <f>ROUND(F610*AO610,2)</f>
        <v>0</v>
      </c>
      <c r="I610" s="50">
        <f>ROUND(F610*AP610,2)</f>
        <v>0</v>
      </c>
      <c r="J610" s="50">
        <f>ROUND(F610*G610,2)</f>
        <v>0</v>
      </c>
      <c r="K610" s="51" t="s">
        <v>116</v>
      </c>
      <c r="Z610" s="50">
        <f>ROUND(IF(AQ610="5",BJ610,0),2)</f>
        <v>0</v>
      </c>
      <c r="AB610" s="50">
        <f>ROUND(IF(AQ610="1",BH610,0),2)</f>
        <v>0</v>
      </c>
      <c r="AC610" s="50">
        <f>ROUND(IF(AQ610="1",BI610,0),2)</f>
        <v>0</v>
      </c>
      <c r="AD610" s="50">
        <f>ROUND(IF(AQ610="7",BH610,0),2)</f>
        <v>0</v>
      </c>
      <c r="AE610" s="50">
        <f>ROUND(IF(AQ610="7",BI610,0),2)</f>
        <v>0</v>
      </c>
      <c r="AF610" s="50">
        <f>ROUND(IF(AQ610="2",BH610,0),2)</f>
        <v>0</v>
      </c>
      <c r="AG610" s="50">
        <f>ROUND(IF(AQ610="2",BI610,0),2)</f>
        <v>0</v>
      </c>
      <c r="AH610" s="50">
        <f>ROUND(IF(AQ610="0",BJ610,0),2)</f>
        <v>0</v>
      </c>
      <c r="AI610" s="32" t="s">
        <v>4</v>
      </c>
      <c r="AJ610" s="50">
        <f>IF(AN610=0,J610,0)</f>
        <v>0</v>
      </c>
      <c r="AK610" s="50">
        <f>IF(AN610=12,J610,0)</f>
        <v>0</v>
      </c>
      <c r="AL610" s="50">
        <f>IF(AN610=21,J610,0)</f>
        <v>0</v>
      </c>
      <c r="AN610" s="50">
        <v>21</v>
      </c>
      <c r="AO610" s="50">
        <f>G610*1</f>
        <v>0</v>
      </c>
      <c r="AP610" s="50">
        <f>G610*(1-1)</f>
        <v>0</v>
      </c>
      <c r="AQ610" s="52" t="s">
        <v>158</v>
      </c>
      <c r="AV610" s="50">
        <f>ROUND(AW610+AX610,2)</f>
        <v>0</v>
      </c>
      <c r="AW610" s="50">
        <f>ROUND(F610*AO610,2)</f>
        <v>0</v>
      </c>
      <c r="AX610" s="50">
        <f>ROUND(F610*AP610,2)</f>
        <v>0</v>
      </c>
      <c r="AY610" s="52" t="s">
        <v>955</v>
      </c>
      <c r="AZ610" s="52" t="s">
        <v>749</v>
      </c>
      <c r="BA610" s="32" t="s">
        <v>119</v>
      </c>
      <c r="BC610" s="50">
        <f>AW610+AX610</f>
        <v>0</v>
      </c>
      <c r="BD610" s="50">
        <f>G610/(100-BE610)*100</f>
        <v>0</v>
      </c>
      <c r="BE610" s="50">
        <v>0</v>
      </c>
      <c r="BF610" s="50">
        <f>610</f>
        <v>610</v>
      </c>
      <c r="BH610" s="50">
        <f>F610*AO610</f>
        <v>0</v>
      </c>
      <c r="BI610" s="50">
        <f>F610*AP610</f>
        <v>0</v>
      </c>
      <c r="BJ610" s="50">
        <f>F610*G610</f>
        <v>0</v>
      </c>
      <c r="BK610" s="50"/>
      <c r="BL610" s="50">
        <v>728</v>
      </c>
      <c r="BW610" s="50">
        <v>21</v>
      </c>
      <c r="BX610" s="3" t="s">
        <v>963</v>
      </c>
    </row>
    <row r="611" spans="1:76" ht="14.4" x14ac:dyDescent="0.3">
      <c r="A611" s="53"/>
      <c r="C611" s="54" t="s">
        <v>112</v>
      </c>
      <c r="D611" s="54" t="s">
        <v>4</v>
      </c>
      <c r="F611" s="55">
        <v>1</v>
      </c>
      <c r="K611" s="56"/>
    </row>
    <row r="612" spans="1:76" ht="14.4" x14ac:dyDescent="0.3">
      <c r="A612" s="1" t="s">
        <v>964</v>
      </c>
      <c r="B612" s="2" t="s">
        <v>965</v>
      </c>
      <c r="C612" s="75" t="s">
        <v>966</v>
      </c>
      <c r="D612" s="70"/>
      <c r="E612" s="2" t="s">
        <v>278</v>
      </c>
      <c r="F612" s="50">
        <v>1</v>
      </c>
      <c r="G612" s="50">
        <v>0</v>
      </c>
      <c r="H612" s="50">
        <f>ROUND(F612*AO612,2)</f>
        <v>0</v>
      </c>
      <c r="I612" s="50">
        <f>ROUND(F612*AP612,2)</f>
        <v>0</v>
      </c>
      <c r="J612" s="50">
        <f>ROUND(F612*G612,2)</f>
        <v>0</v>
      </c>
      <c r="K612" s="51" t="s">
        <v>116</v>
      </c>
      <c r="Z612" s="50">
        <f>ROUND(IF(AQ612="5",BJ612,0),2)</f>
        <v>0</v>
      </c>
      <c r="AB612" s="50">
        <f>ROUND(IF(AQ612="1",BH612,0),2)</f>
        <v>0</v>
      </c>
      <c r="AC612" s="50">
        <f>ROUND(IF(AQ612="1",BI612,0),2)</f>
        <v>0</v>
      </c>
      <c r="AD612" s="50">
        <f>ROUND(IF(AQ612="7",BH612,0),2)</f>
        <v>0</v>
      </c>
      <c r="AE612" s="50">
        <f>ROUND(IF(AQ612="7",BI612,0),2)</f>
        <v>0</v>
      </c>
      <c r="AF612" s="50">
        <f>ROUND(IF(AQ612="2",BH612,0),2)</f>
        <v>0</v>
      </c>
      <c r="AG612" s="50">
        <f>ROUND(IF(AQ612="2",BI612,0),2)</f>
        <v>0</v>
      </c>
      <c r="AH612" s="50">
        <f>ROUND(IF(AQ612="0",BJ612,0),2)</f>
        <v>0</v>
      </c>
      <c r="AI612" s="32" t="s">
        <v>4</v>
      </c>
      <c r="AJ612" s="50">
        <f>IF(AN612=0,J612,0)</f>
        <v>0</v>
      </c>
      <c r="AK612" s="50">
        <f>IF(AN612=12,J612,0)</f>
        <v>0</v>
      </c>
      <c r="AL612" s="50">
        <f>IF(AN612=21,J612,0)</f>
        <v>0</v>
      </c>
      <c r="AN612" s="50">
        <v>21</v>
      </c>
      <c r="AO612" s="50">
        <f>G612*0</f>
        <v>0</v>
      </c>
      <c r="AP612" s="50">
        <f>G612*(1-0)</f>
        <v>0</v>
      </c>
      <c r="AQ612" s="52" t="s">
        <v>158</v>
      </c>
      <c r="AV612" s="50">
        <f>ROUND(AW612+AX612,2)</f>
        <v>0</v>
      </c>
      <c r="AW612" s="50">
        <f>ROUND(F612*AO612,2)</f>
        <v>0</v>
      </c>
      <c r="AX612" s="50">
        <f>ROUND(F612*AP612,2)</f>
        <v>0</v>
      </c>
      <c r="AY612" s="52" t="s">
        <v>955</v>
      </c>
      <c r="AZ612" s="52" t="s">
        <v>749</v>
      </c>
      <c r="BA612" s="32" t="s">
        <v>119</v>
      </c>
      <c r="BC612" s="50">
        <f>AW612+AX612</f>
        <v>0</v>
      </c>
      <c r="BD612" s="50">
        <f>G612/(100-BE612)*100</f>
        <v>0</v>
      </c>
      <c r="BE612" s="50">
        <v>0</v>
      </c>
      <c r="BF612" s="50">
        <f>612</f>
        <v>612</v>
      </c>
      <c r="BH612" s="50">
        <f>F612*AO612</f>
        <v>0</v>
      </c>
      <c r="BI612" s="50">
        <f>F612*AP612</f>
        <v>0</v>
      </c>
      <c r="BJ612" s="50">
        <f>F612*G612</f>
        <v>0</v>
      </c>
      <c r="BK612" s="50"/>
      <c r="BL612" s="50">
        <v>728</v>
      </c>
      <c r="BW612" s="50">
        <v>21</v>
      </c>
      <c r="BX612" s="3" t="s">
        <v>966</v>
      </c>
    </row>
    <row r="613" spans="1:76" ht="14.4" x14ac:dyDescent="0.3">
      <c r="A613" s="53"/>
      <c r="C613" s="54" t="s">
        <v>112</v>
      </c>
      <c r="D613" s="54" t="s">
        <v>4</v>
      </c>
      <c r="F613" s="55">
        <v>1</v>
      </c>
      <c r="K613" s="56"/>
    </row>
    <row r="614" spans="1:76" ht="14.4" x14ac:dyDescent="0.3">
      <c r="A614" s="1" t="s">
        <v>967</v>
      </c>
      <c r="B614" s="2" t="s">
        <v>968</v>
      </c>
      <c r="C614" s="75" t="s">
        <v>969</v>
      </c>
      <c r="D614" s="70"/>
      <c r="E614" s="2" t="s">
        <v>278</v>
      </c>
      <c r="F614" s="50">
        <v>1</v>
      </c>
      <c r="G614" s="50">
        <v>0</v>
      </c>
      <c r="H614" s="50">
        <f>ROUND(F614*AO614,2)</f>
        <v>0</v>
      </c>
      <c r="I614" s="50">
        <f>ROUND(F614*AP614,2)</f>
        <v>0</v>
      </c>
      <c r="J614" s="50">
        <f>ROUND(F614*G614,2)</f>
        <v>0</v>
      </c>
      <c r="K614" s="51" t="s">
        <v>116</v>
      </c>
      <c r="Z614" s="50">
        <f>ROUND(IF(AQ614="5",BJ614,0),2)</f>
        <v>0</v>
      </c>
      <c r="AB614" s="50">
        <f>ROUND(IF(AQ614="1",BH614,0),2)</f>
        <v>0</v>
      </c>
      <c r="AC614" s="50">
        <f>ROUND(IF(AQ614="1",BI614,0),2)</f>
        <v>0</v>
      </c>
      <c r="AD614" s="50">
        <f>ROUND(IF(AQ614="7",BH614,0),2)</f>
        <v>0</v>
      </c>
      <c r="AE614" s="50">
        <f>ROUND(IF(AQ614="7",BI614,0),2)</f>
        <v>0</v>
      </c>
      <c r="AF614" s="50">
        <f>ROUND(IF(AQ614="2",BH614,0),2)</f>
        <v>0</v>
      </c>
      <c r="AG614" s="50">
        <f>ROUND(IF(AQ614="2",BI614,0),2)</f>
        <v>0</v>
      </c>
      <c r="AH614" s="50">
        <f>ROUND(IF(AQ614="0",BJ614,0),2)</f>
        <v>0</v>
      </c>
      <c r="AI614" s="32" t="s">
        <v>4</v>
      </c>
      <c r="AJ614" s="50">
        <f>IF(AN614=0,J614,0)</f>
        <v>0</v>
      </c>
      <c r="AK614" s="50">
        <f>IF(AN614=12,J614,0)</f>
        <v>0</v>
      </c>
      <c r="AL614" s="50">
        <f>IF(AN614=21,J614,0)</f>
        <v>0</v>
      </c>
      <c r="AN614" s="50">
        <v>21</v>
      </c>
      <c r="AO614" s="50">
        <f>G614*1</f>
        <v>0</v>
      </c>
      <c r="AP614" s="50">
        <f>G614*(1-1)</f>
        <v>0</v>
      </c>
      <c r="AQ614" s="52" t="s">
        <v>158</v>
      </c>
      <c r="AV614" s="50">
        <f>ROUND(AW614+AX614,2)</f>
        <v>0</v>
      </c>
      <c r="AW614" s="50">
        <f>ROUND(F614*AO614,2)</f>
        <v>0</v>
      </c>
      <c r="AX614" s="50">
        <f>ROUND(F614*AP614,2)</f>
        <v>0</v>
      </c>
      <c r="AY614" s="52" t="s">
        <v>955</v>
      </c>
      <c r="AZ614" s="52" t="s">
        <v>749</v>
      </c>
      <c r="BA614" s="32" t="s">
        <v>119</v>
      </c>
      <c r="BC614" s="50">
        <f>AW614+AX614</f>
        <v>0</v>
      </c>
      <c r="BD614" s="50">
        <f>G614/(100-BE614)*100</f>
        <v>0</v>
      </c>
      <c r="BE614" s="50">
        <v>0</v>
      </c>
      <c r="BF614" s="50">
        <f>614</f>
        <v>614</v>
      </c>
      <c r="BH614" s="50">
        <f>F614*AO614</f>
        <v>0</v>
      </c>
      <c r="BI614" s="50">
        <f>F614*AP614</f>
        <v>0</v>
      </c>
      <c r="BJ614" s="50">
        <f>F614*G614</f>
        <v>0</v>
      </c>
      <c r="BK614" s="50"/>
      <c r="BL614" s="50">
        <v>728</v>
      </c>
      <c r="BW614" s="50">
        <v>21</v>
      </c>
      <c r="BX614" s="3" t="s">
        <v>969</v>
      </c>
    </row>
    <row r="615" spans="1:76" ht="14.4" x14ac:dyDescent="0.3">
      <c r="A615" s="53"/>
      <c r="C615" s="54" t="s">
        <v>112</v>
      </c>
      <c r="D615" s="54" t="s">
        <v>4</v>
      </c>
      <c r="F615" s="55">
        <v>1</v>
      </c>
      <c r="K615" s="56"/>
    </row>
    <row r="616" spans="1:76" ht="14.4" x14ac:dyDescent="0.3">
      <c r="A616" s="1" t="s">
        <v>970</v>
      </c>
      <c r="B616" s="2" t="s">
        <v>971</v>
      </c>
      <c r="C616" s="75" t="s">
        <v>972</v>
      </c>
      <c r="D616" s="70"/>
      <c r="E616" s="2" t="s">
        <v>278</v>
      </c>
      <c r="F616" s="50">
        <v>1</v>
      </c>
      <c r="G616" s="50">
        <v>0</v>
      </c>
      <c r="H616" s="50">
        <f>ROUND(F616*AO616,2)</f>
        <v>0</v>
      </c>
      <c r="I616" s="50">
        <f>ROUND(F616*AP616,2)</f>
        <v>0</v>
      </c>
      <c r="J616" s="50">
        <f>ROUND(F616*G616,2)</f>
        <v>0</v>
      </c>
      <c r="K616" s="51" t="s">
        <v>116</v>
      </c>
      <c r="Z616" s="50">
        <f>ROUND(IF(AQ616="5",BJ616,0),2)</f>
        <v>0</v>
      </c>
      <c r="AB616" s="50">
        <f>ROUND(IF(AQ616="1",BH616,0),2)</f>
        <v>0</v>
      </c>
      <c r="AC616" s="50">
        <f>ROUND(IF(AQ616="1",BI616,0),2)</f>
        <v>0</v>
      </c>
      <c r="AD616" s="50">
        <f>ROUND(IF(AQ616="7",BH616,0),2)</f>
        <v>0</v>
      </c>
      <c r="AE616" s="50">
        <f>ROUND(IF(AQ616="7",BI616,0),2)</f>
        <v>0</v>
      </c>
      <c r="AF616" s="50">
        <f>ROUND(IF(AQ616="2",BH616,0),2)</f>
        <v>0</v>
      </c>
      <c r="AG616" s="50">
        <f>ROUND(IF(AQ616="2",BI616,0),2)</f>
        <v>0</v>
      </c>
      <c r="AH616" s="50">
        <f>ROUND(IF(AQ616="0",BJ616,0),2)</f>
        <v>0</v>
      </c>
      <c r="AI616" s="32" t="s">
        <v>4</v>
      </c>
      <c r="AJ616" s="50">
        <f>IF(AN616=0,J616,0)</f>
        <v>0</v>
      </c>
      <c r="AK616" s="50">
        <f>IF(AN616=12,J616,0)</f>
        <v>0</v>
      </c>
      <c r="AL616" s="50">
        <f>IF(AN616=21,J616,0)</f>
        <v>0</v>
      </c>
      <c r="AN616" s="50">
        <v>21</v>
      </c>
      <c r="AO616" s="50">
        <f>G616*1</f>
        <v>0</v>
      </c>
      <c r="AP616" s="50">
        <f>G616*(1-1)</f>
        <v>0</v>
      </c>
      <c r="AQ616" s="52" t="s">
        <v>158</v>
      </c>
      <c r="AV616" s="50">
        <f>ROUND(AW616+AX616,2)</f>
        <v>0</v>
      </c>
      <c r="AW616" s="50">
        <f>ROUND(F616*AO616,2)</f>
        <v>0</v>
      </c>
      <c r="AX616" s="50">
        <f>ROUND(F616*AP616,2)</f>
        <v>0</v>
      </c>
      <c r="AY616" s="52" t="s">
        <v>955</v>
      </c>
      <c r="AZ616" s="52" t="s">
        <v>749</v>
      </c>
      <c r="BA616" s="32" t="s">
        <v>119</v>
      </c>
      <c r="BC616" s="50">
        <f>AW616+AX616</f>
        <v>0</v>
      </c>
      <c r="BD616" s="50">
        <f>G616/(100-BE616)*100</f>
        <v>0</v>
      </c>
      <c r="BE616" s="50">
        <v>0</v>
      </c>
      <c r="BF616" s="50">
        <f>616</f>
        <v>616</v>
      </c>
      <c r="BH616" s="50">
        <f>F616*AO616</f>
        <v>0</v>
      </c>
      <c r="BI616" s="50">
        <f>F616*AP616</f>
        <v>0</v>
      </c>
      <c r="BJ616" s="50">
        <f>F616*G616</f>
        <v>0</v>
      </c>
      <c r="BK616" s="50"/>
      <c r="BL616" s="50">
        <v>728</v>
      </c>
      <c r="BW616" s="50">
        <v>21</v>
      </c>
      <c r="BX616" s="3" t="s">
        <v>972</v>
      </c>
    </row>
    <row r="617" spans="1:76" ht="14.4" x14ac:dyDescent="0.3">
      <c r="A617" s="53"/>
      <c r="C617" s="54" t="s">
        <v>112</v>
      </c>
      <c r="D617" s="54" t="s">
        <v>4</v>
      </c>
      <c r="F617" s="55">
        <v>1</v>
      </c>
      <c r="K617" s="56"/>
    </row>
    <row r="618" spans="1:76" ht="14.4" x14ac:dyDescent="0.3">
      <c r="A618" s="1" t="s">
        <v>973</v>
      </c>
      <c r="B618" s="2" t="s">
        <v>974</v>
      </c>
      <c r="C618" s="75" t="s">
        <v>975</v>
      </c>
      <c r="D618" s="70"/>
      <c r="E618" s="2" t="s">
        <v>278</v>
      </c>
      <c r="F618" s="50">
        <v>1</v>
      </c>
      <c r="G618" s="50">
        <v>0</v>
      </c>
      <c r="H618" s="50">
        <f>ROUND(F618*AO618,2)</f>
        <v>0</v>
      </c>
      <c r="I618" s="50">
        <f>ROUND(F618*AP618,2)</f>
        <v>0</v>
      </c>
      <c r="J618" s="50">
        <f>ROUND(F618*G618,2)</f>
        <v>0</v>
      </c>
      <c r="K618" s="51" t="s">
        <v>116</v>
      </c>
      <c r="Z618" s="50">
        <f>ROUND(IF(AQ618="5",BJ618,0),2)</f>
        <v>0</v>
      </c>
      <c r="AB618" s="50">
        <f>ROUND(IF(AQ618="1",BH618,0),2)</f>
        <v>0</v>
      </c>
      <c r="AC618" s="50">
        <f>ROUND(IF(AQ618="1",BI618,0),2)</f>
        <v>0</v>
      </c>
      <c r="AD618" s="50">
        <f>ROUND(IF(AQ618="7",BH618,0),2)</f>
        <v>0</v>
      </c>
      <c r="AE618" s="50">
        <f>ROUND(IF(AQ618="7",BI618,0),2)</f>
        <v>0</v>
      </c>
      <c r="AF618" s="50">
        <f>ROUND(IF(AQ618="2",BH618,0),2)</f>
        <v>0</v>
      </c>
      <c r="AG618" s="50">
        <f>ROUND(IF(AQ618="2",BI618,0),2)</f>
        <v>0</v>
      </c>
      <c r="AH618" s="50">
        <f>ROUND(IF(AQ618="0",BJ618,0),2)</f>
        <v>0</v>
      </c>
      <c r="AI618" s="32" t="s">
        <v>4</v>
      </c>
      <c r="AJ618" s="50">
        <f>IF(AN618=0,J618,0)</f>
        <v>0</v>
      </c>
      <c r="AK618" s="50">
        <f>IF(AN618=12,J618,0)</f>
        <v>0</v>
      </c>
      <c r="AL618" s="50">
        <f>IF(AN618=21,J618,0)</f>
        <v>0</v>
      </c>
      <c r="AN618" s="50">
        <v>21</v>
      </c>
      <c r="AO618" s="50">
        <f>G618*0</f>
        <v>0</v>
      </c>
      <c r="AP618" s="50">
        <f>G618*(1-0)</f>
        <v>0</v>
      </c>
      <c r="AQ618" s="52" t="s">
        <v>132</v>
      </c>
      <c r="AV618" s="50">
        <f>ROUND(AW618+AX618,2)</f>
        <v>0</v>
      </c>
      <c r="AW618" s="50">
        <f>ROUND(F618*AO618,2)</f>
        <v>0</v>
      </c>
      <c r="AX618" s="50">
        <f>ROUND(F618*AP618,2)</f>
        <v>0</v>
      </c>
      <c r="AY618" s="52" t="s">
        <v>955</v>
      </c>
      <c r="AZ618" s="52" t="s">
        <v>749</v>
      </c>
      <c r="BA618" s="32" t="s">
        <v>119</v>
      </c>
      <c r="BC618" s="50">
        <f>AW618+AX618</f>
        <v>0</v>
      </c>
      <c r="BD618" s="50">
        <f>G618/(100-BE618)*100</f>
        <v>0</v>
      </c>
      <c r="BE618" s="50">
        <v>0</v>
      </c>
      <c r="BF618" s="50">
        <f>618</f>
        <v>618</v>
      </c>
      <c r="BH618" s="50">
        <f>F618*AO618</f>
        <v>0</v>
      </c>
      <c r="BI618" s="50">
        <f>F618*AP618</f>
        <v>0</v>
      </c>
      <c r="BJ618" s="50">
        <f>F618*G618</f>
        <v>0</v>
      </c>
      <c r="BK618" s="50"/>
      <c r="BL618" s="50">
        <v>728</v>
      </c>
      <c r="BW618" s="50">
        <v>21</v>
      </c>
      <c r="BX618" s="3" t="s">
        <v>975</v>
      </c>
    </row>
    <row r="619" spans="1:76" ht="14.4" x14ac:dyDescent="0.3">
      <c r="A619" s="53"/>
      <c r="C619" s="54" t="s">
        <v>112</v>
      </c>
      <c r="D619" s="54" t="s">
        <v>4</v>
      </c>
      <c r="F619" s="55">
        <v>1</v>
      </c>
      <c r="K619" s="56"/>
    </row>
    <row r="620" spans="1:76" ht="14.4" x14ac:dyDescent="0.3">
      <c r="A620" s="1" t="s">
        <v>976</v>
      </c>
      <c r="B620" s="2" t="s">
        <v>977</v>
      </c>
      <c r="C620" s="75" t="s">
        <v>978</v>
      </c>
      <c r="D620" s="70"/>
      <c r="E620" s="2" t="s">
        <v>173</v>
      </c>
      <c r="F620" s="50">
        <v>4.0899999999999999E-3</v>
      </c>
      <c r="G620" s="50">
        <v>0</v>
      </c>
      <c r="H620" s="50">
        <f>ROUND(F620*AO620,2)</f>
        <v>0</v>
      </c>
      <c r="I620" s="50">
        <f>ROUND(F620*AP620,2)</f>
        <v>0</v>
      </c>
      <c r="J620" s="50">
        <f>ROUND(F620*G620,2)</f>
        <v>0</v>
      </c>
      <c r="K620" s="51" t="s">
        <v>116</v>
      </c>
      <c r="Z620" s="50">
        <f>ROUND(IF(AQ620="5",BJ620,0),2)</f>
        <v>0</v>
      </c>
      <c r="AB620" s="50">
        <f>ROUND(IF(AQ620="1",BH620,0),2)</f>
        <v>0</v>
      </c>
      <c r="AC620" s="50">
        <f>ROUND(IF(AQ620="1",BI620,0),2)</f>
        <v>0</v>
      </c>
      <c r="AD620" s="50">
        <f>ROUND(IF(AQ620="7",BH620,0),2)</f>
        <v>0</v>
      </c>
      <c r="AE620" s="50">
        <f>ROUND(IF(AQ620="7",BI620,0),2)</f>
        <v>0</v>
      </c>
      <c r="AF620" s="50">
        <f>ROUND(IF(AQ620="2",BH620,0),2)</f>
        <v>0</v>
      </c>
      <c r="AG620" s="50">
        <f>ROUND(IF(AQ620="2",BI620,0),2)</f>
        <v>0</v>
      </c>
      <c r="AH620" s="50">
        <f>ROUND(IF(AQ620="0",BJ620,0),2)</f>
        <v>0</v>
      </c>
      <c r="AI620" s="32" t="s">
        <v>4</v>
      </c>
      <c r="AJ620" s="50">
        <f>IF(AN620=0,J620,0)</f>
        <v>0</v>
      </c>
      <c r="AK620" s="50">
        <f>IF(AN620=12,J620,0)</f>
        <v>0</v>
      </c>
      <c r="AL620" s="50">
        <f>IF(AN620=21,J620,0)</f>
        <v>0</v>
      </c>
      <c r="AN620" s="50">
        <v>21</v>
      </c>
      <c r="AO620" s="50">
        <f>G620*0</f>
        <v>0</v>
      </c>
      <c r="AP620" s="50">
        <f>G620*(1-0)</f>
        <v>0</v>
      </c>
      <c r="AQ620" s="52" t="s">
        <v>147</v>
      </c>
      <c r="AV620" s="50">
        <f>ROUND(AW620+AX620,2)</f>
        <v>0</v>
      </c>
      <c r="AW620" s="50">
        <f>ROUND(F620*AO620,2)</f>
        <v>0</v>
      </c>
      <c r="AX620" s="50">
        <f>ROUND(F620*AP620,2)</f>
        <v>0</v>
      </c>
      <c r="AY620" s="52" t="s">
        <v>955</v>
      </c>
      <c r="AZ620" s="52" t="s">
        <v>749</v>
      </c>
      <c r="BA620" s="32" t="s">
        <v>119</v>
      </c>
      <c r="BC620" s="50">
        <f>AW620+AX620</f>
        <v>0</v>
      </c>
      <c r="BD620" s="50">
        <f>G620/(100-BE620)*100</f>
        <v>0</v>
      </c>
      <c r="BE620" s="50">
        <v>0</v>
      </c>
      <c r="BF620" s="50">
        <f>620</f>
        <v>620</v>
      </c>
      <c r="BH620" s="50">
        <f>F620*AO620</f>
        <v>0</v>
      </c>
      <c r="BI620" s="50">
        <f>F620*AP620</f>
        <v>0</v>
      </c>
      <c r="BJ620" s="50">
        <f>F620*G620</f>
        <v>0</v>
      </c>
      <c r="BK620" s="50"/>
      <c r="BL620" s="50">
        <v>728</v>
      </c>
      <c r="BW620" s="50">
        <v>21</v>
      </c>
      <c r="BX620" s="3" t="s">
        <v>978</v>
      </c>
    </row>
    <row r="621" spans="1:76" ht="14.4" x14ac:dyDescent="0.3">
      <c r="A621" s="46" t="s">
        <v>4</v>
      </c>
      <c r="B621" s="47" t="s">
        <v>979</v>
      </c>
      <c r="C621" s="148" t="s">
        <v>980</v>
      </c>
      <c r="D621" s="149"/>
      <c r="E621" s="48" t="s">
        <v>74</v>
      </c>
      <c r="F621" s="48" t="s">
        <v>74</v>
      </c>
      <c r="G621" s="48" t="s">
        <v>74</v>
      </c>
      <c r="H621" s="26">
        <f>SUM(H622:H625)</f>
        <v>0</v>
      </c>
      <c r="I621" s="26">
        <f>SUM(I622:I625)</f>
        <v>0</v>
      </c>
      <c r="J621" s="26">
        <f>SUM(J622:J625)</f>
        <v>0</v>
      </c>
      <c r="K621" s="49" t="s">
        <v>4</v>
      </c>
      <c r="AI621" s="32" t="s">
        <v>4</v>
      </c>
      <c r="AS621" s="26">
        <f>SUM(AJ622:AJ625)</f>
        <v>0</v>
      </c>
      <c r="AT621" s="26">
        <f>SUM(AK622:AK625)</f>
        <v>0</v>
      </c>
      <c r="AU621" s="26">
        <f>SUM(AL622:AL625)</f>
        <v>0</v>
      </c>
    </row>
    <row r="622" spans="1:76" ht="14.4" x14ac:dyDescent="0.3">
      <c r="A622" s="1" t="s">
        <v>981</v>
      </c>
      <c r="B622" s="2" t="s">
        <v>982</v>
      </c>
      <c r="C622" s="75" t="s">
        <v>983</v>
      </c>
      <c r="D622" s="70"/>
      <c r="E622" s="2" t="s">
        <v>278</v>
      </c>
      <c r="F622" s="50">
        <v>1</v>
      </c>
      <c r="G622" s="50">
        <v>0</v>
      </c>
      <c r="H622" s="50">
        <f>ROUND(F622*AO622,2)</f>
        <v>0</v>
      </c>
      <c r="I622" s="50">
        <f>ROUND(F622*AP622,2)</f>
        <v>0</v>
      </c>
      <c r="J622" s="50">
        <f>ROUND(F622*G622,2)</f>
        <v>0</v>
      </c>
      <c r="K622" s="51" t="s">
        <v>116</v>
      </c>
      <c r="Z622" s="50">
        <f>ROUND(IF(AQ622="5",BJ622,0),2)</f>
        <v>0</v>
      </c>
      <c r="AB622" s="50">
        <f>ROUND(IF(AQ622="1",BH622,0),2)</f>
        <v>0</v>
      </c>
      <c r="AC622" s="50">
        <f>ROUND(IF(AQ622="1",BI622,0),2)</f>
        <v>0</v>
      </c>
      <c r="AD622" s="50">
        <f>ROUND(IF(AQ622="7",BH622,0),2)</f>
        <v>0</v>
      </c>
      <c r="AE622" s="50">
        <f>ROUND(IF(AQ622="7",BI622,0),2)</f>
        <v>0</v>
      </c>
      <c r="AF622" s="50">
        <f>ROUND(IF(AQ622="2",BH622,0),2)</f>
        <v>0</v>
      </c>
      <c r="AG622" s="50">
        <f>ROUND(IF(AQ622="2",BI622,0),2)</f>
        <v>0</v>
      </c>
      <c r="AH622" s="50">
        <f>ROUND(IF(AQ622="0",BJ622,0),2)</f>
        <v>0</v>
      </c>
      <c r="AI622" s="32" t="s">
        <v>4</v>
      </c>
      <c r="AJ622" s="50">
        <f>IF(AN622=0,J622,0)</f>
        <v>0</v>
      </c>
      <c r="AK622" s="50">
        <f>IF(AN622=12,J622,0)</f>
        <v>0</v>
      </c>
      <c r="AL622" s="50">
        <f>IF(AN622=21,J622,0)</f>
        <v>0</v>
      </c>
      <c r="AN622" s="50">
        <v>21</v>
      </c>
      <c r="AO622" s="50">
        <f>G622*0.929282554</f>
        <v>0</v>
      </c>
      <c r="AP622" s="50">
        <f>G622*(1-0.929282554)</f>
        <v>0</v>
      </c>
      <c r="AQ622" s="52" t="s">
        <v>158</v>
      </c>
      <c r="AV622" s="50">
        <f>ROUND(AW622+AX622,2)</f>
        <v>0</v>
      </c>
      <c r="AW622" s="50">
        <f>ROUND(F622*AO622,2)</f>
        <v>0</v>
      </c>
      <c r="AX622" s="50">
        <f>ROUND(F622*AP622,2)</f>
        <v>0</v>
      </c>
      <c r="AY622" s="52" t="s">
        <v>984</v>
      </c>
      <c r="AZ622" s="52" t="s">
        <v>985</v>
      </c>
      <c r="BA622" s="32" t="s">
        <v>119</v>
      </c>
      <c r="BC622" s="50">
        <f>AW622+AX622</f>
        <v>0</v>
      </c>
      <c r="BD622" s="50">
        <f>G622/(100-BE622)*100</f>
        <v>0</v>
      </c>
      <c r="BE622" s="50">
        <v>0</v>
      </c>
      <c r="BF622" s="50">
        <f>622</f>
        <v>622</v>
      </c>
      <c r="BH622" s="50">
        <f>F622*AO622</f>
        <v>0</v>
      </c>
      <c r="BI622" s="50">
        <f>F622*AP622</f>
        <v>0</v>
      </c>
      <c r="BJ622" s="50">
        <f>F622*G622</f>
        <v>0</v>
      </c>
      <c r="BK622" s="50"/>
      <c r="BL622" s="50">
        <v>731</v>
      </c>
      <c r="BW622" s="50">
        <v>21</v>
      </c>
      <c r="BX622" s="3" t="s">
        <v>983</v>
      </c>
    </row>
    <row r="623" spans="1:76" ht="13.5" customHeight="1" x14ac:dyDescent="0.3">
      <c r="A623" s="53"/>
      <c r="B623" s="57" t="s">
        <v>198</v>
      </c>
      <c r="C623" s="150" t="s">
        <v>986</v>
      </c>
      <c r="D623" s="151"/>
      <c r="E623" s="151"/>
      <c r="F623" s="151"/>
      <c r="G623" s="151"/>
      <c r="H623" s="151"/>
      <c r="I623" s="151"/>
      <c r="J623" s="151"/>
      <c r="K623" s="152"/>
    </row>
    <row r="624" spans="1:76" ht="14.4" x14ac:dyDescent="0.3">
      <c r="A624" s="53"/>
      <c r="C624" s="54" t="s">
        <v>112</v>
      </c>
      <c r="D624" s="54" t="s">
        <v>4</v>
      </c>
      <c r="F624" s="55">
        <v>1</v>
      </c>
      <c r="K624" s="56"/>
    </row>
    <row r="625" spans="1:76" ht="14.4" x14ac:dyDescent="0.3">
      <c r="A625" s="1" t="s">
        <v>987</v>
      </c>
      <c r="B625" s="2" t="s">
        <v>988</v>
      </c>
      <c r="C625" s="75" t="s">
        <v>989</v>
      </c>
      <c r="D625" s="70"/>
      <c r="E625" s="2" t="s">
        <v>173</v>
      </c>
      <c r="F625" s="50">
        <v>0.19900000000000001</v>
      </c>
      <c r="G625" s="50">
        <v>0</v>
      </c>
      <c r="H625" s="50">
        <f>ROUND(F625*AO625,2)</f>
        <v>0</v>
      </c>
      <c r="I625" s="50">
        <f>ROUND(F625*AP625,2)</f>
        <v>0</v>
      </c>
      <c r="J625" s="50">
        <f>ROUND(F625*G625,2)</f>
        <v>0</v>
      </c>
      <c r="K625" s="51" t="s">
        <v>116</v>
      </c>
      <c r="Z625" s="50">
        <f>ROUND(IF(AQ625="5",BJ625,0),2)</f>
        <v>0</v>
      </c>
      <c r="AB625" s="50">
        <f>ROUND(IF(AQ625="1",BH625,0),2)</f>
        <v>0</v>
      </c>
      <c r="AC625" s="50">
        <f>ROUND(IF(AQ625="1",BI625,0),2)</f>
        <v>0</v>
      </c>
      <c r="AD625" s="50">
        <f>ROUND(IF(AQ625="7",BH625,0),2)</f>
        <v>0</v>
      </c>
      <c r="AE625" s="50">
        <f>ROUND(IF(AQ625="7",BI625,0),2)</f>
        <v>0</v>
      </c>
      <c r="AF625" s="50">
        <f>ROUND(IF(AQ625="2",BH625,0),2)</f>
        <v>0</v>
      </c>
      <c r="AG625" s="50">
        <f>ROUND(IF(AQ625="2",BI625,0),2)</f>
        <v>0</v>
      </c>
      <c r="AH625" s="50">
        <f>ROUND(IF(AQ625="0",BJ625,0),2)</f>
        <v>0</v>
      </c>
      <c r="AI625" s="32" t="s">
        <v>4</v>
      </c>
      <c r="AJ625" s="50">
        <f>IF(AN625=0,J625,0)</f>
        <v>0</v>
      </c>
      <c r="AK625" s="50">
        <f>IF(AN625=12,J625,0)</f>
        <v>0</v>
      </c>
      <c r="AL625" s="50">
        <f>IF(AN625=21,J625,0)</f>
        <v>0</v>
      </c>
      <c r="AN625" s="50">
        <v>21</v>
      </c>
      <c r="AO625" s="50">
        <f>G625*0</f>
        <v>0</v>
      </c>
      <c r="AP625" s="50">
        <f>G625*(1-0)</f>
        <v>0</v>
      </c>
      <c r="AQ625" s="52" t="s">
        <v>147</v>
      </c>
      <c r="AV625" s="50">
        <f>ROUND(AW625+AX625,2)</f>
        <v>0</v>
      </c>
      <c r="AW625" s="50">
        <f>ROUND(F625*AO625,2)</f>
        <v>0</v>
      </c>
      <c r="AX625" s="50">
        <f>ROUND(F625*AP625,2)</f>
        <v>0</v>
      </c>
      <c r="AY625" s="52" t="s">
        <v>984</v>
      </c>
      <c r="AZ625" s="52" t="s">
        <v>985</v>
      </c>
      <c r="BA625" s="32" t="s">
        <v>119</v>
      </c>
      <c r="BC625" s="50">
        <f>AW625+AX625</f>
        <v>0</v>
      </c>
      <c r="BD625" s="50">
        <f>G625/(100-BE625)*100</f>
        <v>0</v>
      </c>
      <c r="BE625" s="50">
        <v>0</v>
      </c>
      <c r="BF625" s="50">
        <f>625</f>
        <v>625</v>
      </c>
      <c r="BH625" s="50">
        <f>F625*AO625</f>
        <v>0</v>
      </c>
      <c r="BI625" s="50">
        <f>F625*AP625</f>
        <v>0</v>
      </c>
      <c r="BJ625" s="50">
        <f>F625*G625</f>
        <v>0</v>
      </c>
      <c r="BK625" s="50"/>
      <c r="BL625" s="50">
        <v>731</v>
      </c>
      <c r="BW625" s="50">
        <v>21</v>
      </c>
      <c r="BX625" s="3" t="s">
        <v>989</v>
      </c>
    </row>
    <row r="626" spans="1:76" ht="14.4" x14ac:dyDescent="0.3">
      <c r="A626" s="46" t="s">
        <v>4</v>
      </c>
      <c r="B626" s="47" t="s">
        <v>990</v>
      </c>
      <c r="C626" s="148" t="s">
        <v>991</v>
      </c>
      <c r="D626" s="149"/>
      <c r="E626" s="48" t="s">
        <v>74</v>
      </c>
      <c r="F626" s="48" t="s">
        <v>74</v>
      </c>
      <c r="G626" s="48" t="s">
        <v>74</v>
      </c>
      <c r="H626" s="26">
        <f>SUM(H627:H627)</f>
        <v>0</v>
      </c>
      <c r="I626" s="26">
        <f>SUM(I627:I627)</f>
        <v>0</v>
      </c>
      <c r="J626" s="26">
        <f>SUM(J627:J627)</f>
        <v>0</v>
      </c>
      <c r="K626" s="49" t="s">
        <v>4</v>
      </c>
      <c r="AI626" s="32" t="s">
        <v>4</v>
      </c>
      <c r="AS626" s="26">
        <f>SUM(AJ627:AJ627)</f>
        <v>0</v>
      </c>
      <c r="AT626" s="26">
        <f>SUM(AK627:AK627)</f>
        <v>0</v>
      </c>
      <c r="AU626" s="26">
        <f>SUM(AL627:AL627)</f>
        <v>0</v>
      </c>
    </row>
    <row r="627" spans="1:76" ht="14.4" x14ac:dyDescent="0.3">
      <c r="A627" s="1" t="s">
        <v>992</v>
      </c>
      <c r="B627" s="2" t="s">
        <v>993</v>
      </c>
      <c r="C627" s="75" t="s">
        <v>994</v>
      </c>
      <c r="D627" s="70"/>
      <c r="E627" s="2" t="s">
        <v>874</v>
      </c>
      <c r="F627" s="50">
        <v>1</v>
      </c>
      <c r="G627" s="50">
        <v>0</v>
      </c>
      <c r="H627" s="50">
        <f>ROUND(F627*AO627,2)</f>
        <v>0</v>
      </c>
      <c r="I627" s="50">
        <f>ROUND(F627*AP627,2)</f>
        <v>0</v>
      </c>
      <c r="J627" s="50">
        <f>ROUND(F627*G627,2)</f>
        <v>0</v>
      </c>
      <c r="K627" s="51" t="s">
        <v>116</v>
      </c>
      <c r="Z627" s="50">
        <f>ROUND(IF(AQ627="5",BJ627,0),2)</f>
        <v>0</v>
      </c>
      <c r="AB627" s="50">
        <f>ROUND(IF(AQ627="1",BH627,0),2)</f>
        <v>0</v>
      </c>
      <c r="AC627" s="50">
        <f>ROUND(IF(AQ627="1",BI627,0),2)</f>
        <v>0</v>
      </c>
      <c r="AD627" s="50">
        <f>ROUND(IF(AQ627="7",BH627,0),2)</f>
        <v>0</v>
      </c>
      <c r="AE627" s="50">
        <f>ROUND(IF(AQ627="7",BI627,0),2)</f>
        <v>0</v>
      </c>
      <c r="AF627" s="50">
        <f>ROUND(IF(AQ627="2",BH627,0),2)</f>
        <v>0</v>
      </c>
      <c r="AG627" s="50">
        <f>ROUND(IF(AQ627="2",BI627,0),2)</f>
        <v>0</v>
      </c>
      <c r="AH627" s="50">
        <f>ROUND(IF(AQ627="0",BJ627,0),2)</f>
        <v>0</v>
      </c>
      <c r="AI627" s="32" t="s">
        <v>4</v>
      </c>
      <c r="AJ627" s="50">
        <f>IF(AN627=0,J627,0)</f>
        <v>0</v>
      </c>
      <c r="AK627" s="50">
        <f>IF(AN627=12,J627,0)</f>
        <v>0</v>
      </c>
      <c r="AL627" s="50">
        <f>IF(AN627=21,J627,0)</f>
        <v>0</v>
      </c>
      <c r="AN627" s="50">
        <v>21</v>
      </c>
      <c r="AO627" s="50">
        <f>G627*0.94063168</f>
        <v>0</v>
      </c>
      <c r="AP627" s="50">
        <f>G627*(1-0.94063168)</f>
        <v>0</v>
      </c>
      <c r="AQ627" s="52" t="s">
        <v>158</v>
      </c>
      <c r="AV627" s="50">
        <f>ROUND(AW627+AX627,2)</f>
        <v>0</v>
      </c>
      <c r="AW627" s="50">
        <f>ROUND(F627*AO627,2)</f>
        <v>0</v>
      </c>
      <c r="AX627" s="50">
        <f>ROUND(F627*AP627,2)</f>
        <v>0</v>
      </c>
      <c r="AY627" s="52" t="s">
        <v>995</v>
      </c>
      <c r="AZ627" s="52" t="s">
        <v>985</v>
      </c>
      <c r="BA627" s="32" t="s">
        <v>119</v>
      </c>
      <c r="BC627" s="50">
        <f>AW627+AX627</f>
        <v>0</v>
      </c>
      <c r="BD627" s="50">
        <f>G627/(100-BE627)*100</f>
        <v>0</v>
      </c>
      <c r="BE627" s="50">
        <v>0</v>
      </c>
      <c r="BF627" s="50">
        <f>627</f>
        <v>627</v>
      </c>
      <c r="BH627" s="50">
        <f>F627*AO627</f>
        <v>0</v>
      </c>
      <c r="BI627" s="50">
        <f>F627*AP627</f>
        <v>0</v>
      </c>
      <c r="BJ627" s="50">
        <f>F627*G627</f>
        <v>0</v>
      </c>
      <c r="BK627" s="50"/>
      <c r="BL627" s="50">
        <v>732</v>
      </c>
      <c r="BW627" s="50">
        <v>21</v>
      </c>
      <c r="BX627" s="3" t="s">
        <v>994</v>
      </c>
    </row>
    <row r="628" spans="1:76" ht="14.4" x14ac:dyDescent="0.3">
      <c r="A628" s="53"/>
      <c r="C628" s="54" t="s">
        <v>112</v>
      </c>
      <c r="D628" s="54" t="s">
        <v>4</v>
      </c>
      <c r="F628" s="55">
        <v>1</v>
      </c>
      <c r="K628" s="56"/>
    </row>
    <row r="629" spans="1:76" ht="14.4" x14ac:dyDescent="0.3">
      <c r="A629" s="46" t="s">
        <v>4</v>
      </c>
      <c r="B629" s="47" t="s">
        <v>996</v>
      </c>
      <c r="C629" s="148" t="s">
        <v>997</v>
      </c>
      <c r="D629" s="149"/>
      <c r="E629" s="48" t="s">
        <v>74</v>
      </c>
      <c r="F629" s="48" t="s">
        <v>74</v>
      </c>
      <c r="G629" s="48" t="s">
        <v>74</v>
      </c>
      <c r="H629" s="26">
        <f>SUM(H630:H640)</f>
        <v>0</v>
      </c>
      <c r="I629" s="26">
        <f>SUM(I630:I640)</f>
        <v>0</v>
      </c>
      <c r="J629" s="26">
        <f>SUM(J630:J640)</f>
        <v>0</v>
      </c>
      <c r="K629" s="49" t="s">
        <v>4</v>
      </c>
      <c r="AI629" s="32" t="s">
        <v>4</v>
      </c>
      <c r="AS629" s="26">
        <f>SUM(AJ630:AJ640)</f>
        <v>0</v>
      </c>
      <c r="AT629" s="26">
        <f>SUM(AK630:AK640)</f>
        <v>0</v>
      </c>
      <c r="AU629" s="26">
        <f>SUM(AL630:AL640)</f>
        <v>0</v>
      </c>
    </row>
    <row r="630" spans="1:76" ht="14.4" x14ac:dyDescent="0.3">
      <c r="A630" s="1" t="s">
        <v>998</v>
      </c>
      <c r="B630" s="2" t="s">
        <v>999</v>
      </c>
      <c r="C630" s="75" t="s">
        <v>1000</v>
      </c>
      <c r="D630" s="70"/>
      <c r="E630" s="2" t="s">
        <v>233</v>
      </c>
      <c r="F630" s="50">
        <v>18</v>
      </c>
      <c r="G630" s="50">
        <v>0</v>
      </c>
      <c r="H630" s="50">
        <f>ROUND(F630*AO630,2)</f>
        <v>0</v>
      </c>
      <c r="I630" s="50">
        <f>ROUND(F630*AP630,2)</f>
        <v>0</v>
      </c>
      <c r="J630" s="50">
        <f>ROUND(F630*G630,2)</f>
        <v>0</v>
      </c>
      <c r="K630" s="51" t="s">
        <v>116</v>
      </c>
      <c r="Z630" s="50">
        <f>ROUND(IF(AQ630="5",BJ630,0),2)</f>
        <v>0</v>
      </c>
      <c r="AB630" s="50">
        <f>ROUND(IF(AQ630="1",BH630,0),2)</f>
        <v>0</v>
      </c>
      <c r="AC630" s="50">
        <f>ROUND(IF(AQ630="1",BI630,0),2)</f>
        <v>0</v>
      </c>
      <c r="AD630" s="50">
        <f>ROUND(IF(AQ630="7",BH630,0),2)</f>
        <v>0</v>
      </c>
      <c r="AE630" s="50">
        <f>ROUND(IF(AQ630="7",BI630,0),2)</f>
        <v>0</v>
      </c>
      <c r="AF630" s="50">
        <f>ROUND(IF(AQ630="2",BH630,0),2)</f>
        <v>0</v>
      </c>
      <c r="AG630" s="50">
        <f>ROUND(IF(AQ630="2",BI630,0),2)</f>
        <v>0</v>
      </c>
      <c r="AH630" s="50">
        <f>ROUND(IF(AQ630="0",BJ630,0),2)</f>
        <v>0</v>
      </c>
      <c r="AI630" s="32" t="s">
        <v>4</v>
      </c>
      <c r="AJ630" s="50">
        <f>IF(AN630=0,J630,0)</f>
        <v>0</v>
      </c>
      <c r="AK630" s="50">
        <f>IF(AN630=12,J630,0)</f>
        <v>0</v>
      </c>
      <c r="AL630" s="50">
        <f>IF(AN630=21,J630,0)</f>
        <v>0</v>
      </c>
      <c r="AN630" s="50">
        <v>21</v>
      </c>
      <c r="AO630" s="50">
        <f>G630*0.73023438</f>
        <v>0</v>
      </c>
      <c r="AP630" s="50">
        <f>G630*(1-0.73023438)</f>
        <v>0</v>
      </c>
      <c r="AQ630" s="52" t="s">
        <v>158</v>
      </c>
      <c r="AV630" s="50">
        <f>ROUND(AW630+AX630,2)</f>
        <v>0</v>
      </c>
      <c r="AW630" s="50">
        <f>ROUND(F630*AO630,2)</f>
        <v>0</v>
      </c>
      <c r="AX630" s="50">
        <f>ROUND(F630*AP630,2)</f>
        <v>0</v>
      </c>
      <c r="AY630" s="52" t="s">
        <v>1001</v>
      </c>
      <c r="AZ630" s="52" t="s">
        <v>985</v>
      </c>
      <c r="BA630" s="32" t="s">
        <v>119</v>
      </c>
      <c r="BC630" s="50">
        <f>AW630+AX630</f>
        <v>0</v>
      </c>
      <c r="BD630" s="50">
        <f>G630/(100-BE630)*100</f>
        <v>0</v>
      </c>
      <c r="BE630" s="50">
        <v>0</v>
      </c>
      <c r="BF630" s="50">
        <f>630</f>
        <v>630</v>
      </c>
      <c r="BH630" s="50">
        <f>F630*AO630</f>
        <v>0</v>
      </c>
      <c r="BI630" s="50">
        <f>F630*AP630</f>
        <v>0</v>
      </c>
      <c r="BJ630" s="50">
        <f>F630*G630</f>
        <v>0</v>
      </c>
      <c r="BK630" s="50"/>
      <c r="BL630" s="50">
        <v>733</v>
      </c>
      <c r="BW630" s="50">
        <v>21</v>
      </c>
      <c r="BX630" s="3" t="s">
        <v>1000</v>
      </c>
    </row>
    <row r="631" spans="1:76" ht="14.4" x14ac:dyDescent="0.3">
      <c r="A631" s="53"/>
      <c r="C631" s="54" t="s">
        <v>211</v>
      </c>
      <c r="D631" s="54" t="s">
        <v>4</v>
      </c>
      <c r="F631" s="55">
        <v>18</v>
      </c>
      <c r="K631" s="56"/>
    </row>
    <row r="632" spans="1:76" ht="14.4" x14ac:dyDescent="0.3">
      <c r="A632" s="1" t="s">
        <v>1002</v>
      </c>
      <c r="B632" s="2" t="s">
        <v>1003</v>
      </c>
      <c r="C632" s="75" t="s">
        <v>1004</v>
      </c>
      <c r="D632" s="70"/>
      <c r="E632" s="2" t="s">
        <v>233</v>
      </c>
      <c r="F632" s="50">
        <v>6</v>
      </c>
      <c r="G632" s="50">
        <v>0</v>
      </c>
      <c r="H632" s="50">
        <f>ROUND(F632*AO632,2)</f>
        <v>0</v>
      </c>
      <c r="I632" s="50">
        <f>ROUND(F632*AP632,2)</f>
        <v>0</v>
      </c>
      <c r="J632" s="50">
        <f>ROUND(F632*G632,2)</f>
        <v>0</v>
      </c>
      <c r="K632" s="51" t="s">
        <v>116</v>
      </c>
      <c r="Z632" s="50">
        <f>ROUND(IF(AQ632="5",BJ632,0),2)</f>
        <v>0</v>
      </c>
      <c r="AB632" s="50">
        <f>ROUND(IF(AQ632="1",BH632,0),2)</f>
        <v>0</v>
      </c>
      <c r="AC632" s="50">
        <f>ROUND(IF(AQ632="1",BI632,0),2)</f>
        <v>0</v>
      </c>
      <c r="AD632" s="50">
        <f>ROUND(IF(AQ632="7",BH632,0),2)</f>
        <v>0</v>
      </c>
      <c r="AE632" s="50">
        <f>ROUND(IF(AQ632="7",BI632,0),2)</f>
        <v>0</v>
      </c>
      <c r="AF632" s="50">
        <f>ROUND(IF(AQ632="2",BH632,0),2)</f>
        <v>0</v>
      </c>
      <c r="AG632" s="50">
        <f>ROUND(IF(AQ632="2",BI632,0),2)</f>
        <v>0</v>
      </c>
      <c r="AH632" s="50">
        <f>ROUND(IF(AQ632="0",BJ632,0),2)</f>
        <v>0</v>
      </c>
      <c r="AI632" s="32" t="s">
        <v>4</v>
      </c>
      <c r="AJ632" s="50">
        <f>IF(AN632=0,J632,0)</f>
        <v>0</v>
      </c>
      <c r="AK632" s="50">
        <f>IF(AN632=12,J632,0)</f>
        <v>0</v>
      </c>
      <c r="AL632" s="50">
        <f>IF(AN632=21,J632,0)</f>
        <v>0</v>
      </c>
      <c r="AN632" s="50">
        <v>21</v>
      </c>
      <c r="AO632" s="50">
        <f>G632*0.747500051</f>
        <v>0</v>
      </c>
      <c r="AP632" s="50">
        <f>G632*(1-0.747500051)</f>
        <v>0</v>
      </c>
      <c r="AQ632" s="52" t="s">
        <v>158</v>
      </c>
      <c r="AV632" s="50">
        <f>ROUND(AW632+AX632,2)</f>
        <v>0</v>
      </c>
      <c r="AW632" s="50">
        <f>ROUND(F632*AO632,2)</f>
        <v>0</v>
      </c>
      <c r="AX632" s="50">
        <f>ROUND(F632*AP632,2)</f>
        <v>0</v>
      </c>
      <c r="AY632" s="52" t="s">
        <v>1001</v>
      </c>
      <c r="AZ632" s="52" t="s">
        <v>985</v>
      </c>
      <c r="BA632" s="32" t="s">
        <v>119</v>
      </c>
      <c r="BC632" s="50">
        <f>AW632+AX632</f>
        <v>0</v>
      </c>
      <c r="BD632" s="50">
        <f>G632/(100-BE632)*100</f>
        <v>0</v>
      </c>
      <c r="BE632" s="50">
        <v>0</v>
      </c>
      <c r="BF632" s="50">
        <f>632</f>
        <v>632</v>
      </c>
      <c r="BH632" s="50">
        <f>F632*AO632</f>
        <v>0</v>
      </c>
      <c r="BI632" s="50">
        <f>F632*AP632</f>
        <v>0</v>
      </c>
      <c r="BJ632" s="50">
        <f>F632*G632</f>
        <v>0</v>
      </c>
      <c r="BK632" s="50"/>
      <c r="BL632" s="50">
        <v>733</v>
      </c>
      <c r="BW632" s="50">
        <v>21</v>
      </c>
      <c r="BX632" s="3" t="s">
        <v>1004</v>
      </c>
    </row>
    <row r="633" spans="1:76" ht="14.4" x14ac:dyDescent="0.3">
      <c r="A633" s="53"/>
      <c r="C633" s="54" t="s">
        <v>150</v>
      </c>
      <c r="D633" s="54" t="s">
        <v>1005</v>
      </c>
      <c r="F633" s="55">
        <v>6</v>
      </c>
      <c r="K633" s="56"/>
    </row>
    <row r="634" spans="1:76" ht="14.4" x14ac:dyDescent="0.3">
      <c r="A634" s="1" t="s">
        <v>1006</v>
      </c>
      <c r="B634" s="2" t="s">
        <v>1007</v>
      </c>
      <c r="C634" s="75" t="s">
        <v>1008</v>
      </c>
      <c r="D634" s="70"/>
      <c r="E634" s="2" t="s">
        <v>233</v>
      </c>
      <c r="F634" s="50">
        <v>6</v>
      </c>
      <c r="G634" s="50">
        <v>0</v>
      </c>
      <c r="H634" s="50">
        <f>ROUND(F634*AO634,2)</f>
        <v>0</v>
      </c>
      <c r="I634" s="50">
        <f>ROUND(F634*AP634,2)</f>
        <v>0</v>
      </c>
      <c r="J634" s="50">
        <f>ROUND(F634*G634,2)</f>
        <v>0</v>
      </c>
      <c r="K634" s="51" t="s">
        <v>116</v>
      </c>
      <c r="Z634" s="50">
        <f>ROUND(IF(AQ634="5",BJ634,0),2)</f>
        <v>0</v>
      </c>
      <c r="AB634" s="50">
        <f>ROUND(IF(AQ634="1",BH634,0),2)</f>
        <v>0</v>
      </c>
      <c r="AC634" s="50">
        <f>ROUND(IF(AQ634="1",BI634,0),2)</f>
        <v>0</v>
      </c>
      <c r="AD634" s="50">
        <f>ROUND(IF(AQ634="7",BH634,0),2)</f>
        <v>0</v>
      </c>
      <c r="AE634" s="50">
        <f>ROUND(IF(AQ634="7",BI634,0),2)</f>
        <v>0</v>
      </c>
      <c r="AF634" s="50">
        <f>ROUND(IF(AQ634="2",BH634,0),2)</f>
        <v>0</v>
      </c>
      <c r="AG634" s="50">
        <f>ROUND(IF(AQ634="2",BI634,0),2)</f>
        <v>0</v>
      </c>
      <c r="AH634" s="50">
        <f>ROUND(IF(AQ634="0",BJ634,0),2)</f>
        <v>0</v>
      </c>
      <c r="AI634" s="32" t="s">
        <v>4</v>
      </c>
      <c r="AJ634" s="50">
        <f>IF(AN634=0,J634,0)</f>
        <v>0</v>
      </c>
      <c r="AK634" s="50">
        <f>IF(AN634=12,J634,0)</f>
        <v>0</v>
      </c>
      <c r="AL634" s="50">
        <f>IF(AN634=21,J634,0)</f>
        <v>0</v>
      </c>
      <c r="AN634" s="50">
        <v>21</v>
      </c>
      <c r="AO634" s="50">
        <f>G634*0.523268364</f>
        <v>0</v>
      </c>
      <c r="AP634" s="50">
        <f>G634*(1-0.523268364)</f>
        <v>0</v>
      </c>
      <c r="AQ634" s="52" t="s">
        <v>158</v>
      </c>
      <c r="AV634" s="50">
        <f>ROUND(AW634+AX634,2)</f>
        <v>0</v>
      </c>
      <c r="AW634" s="50">
        <f>ROUND(F634*AO634,2)</f>
        <v>0</v>
      </c>
      <c r="AX634" s="50">
        <f>ROUND(F634*AP634,2)</f>
        <v>0</v>
      </c>
      <c r="AY634" s="52" t="s">
        <v>1001</v>
      </c>
      <c r="AZ634" s="52" t="s">
        <v>985</v>
      </c>
      <c r="BA634" s="32" t="s">
        <v>119</v>
      </c>
      <c r="BC634" s="50">
        <f>AW634+AX634</f>
        <v>0</v>
      </c>
      <c r="BD634" s="50">
        <f>G634/(100-BE634)*100</f>
        <v>0</v>
      </c>
      <c r="BE634" s="50">
        <v>0</v>
      </c>
      <c r="BF634" s="50">
        <f>634</f>
        <v>634</v>
      </c>
      <c r="BH634" s="50">
        <f>F634*AO634</f>
        <v>0</v>
      </c>
      <c r="BI634" s="50">
        <f>F634*AP634</f>
        <v>0</v>
      </c>
      <c r="BJ634" s="50">
        <f>F634*G634</f>
        <v>0</v>
      </c>
      <c r="BK634" s="50"/>
      <c r="BL634" s="50">
        <v>733</v>
      </c>
      <c r="BW634" s="50">
        <v>21</v>
      </c>
      <c r="BX634" s="3" t="s">
        <v>1008</v>
      </c>
    </row>
    <row r="635" spans="1:76" ht="13.5" customHeight="1" x14ac:dyDescent="0.3">
      <c r="A635" s="53"/>
      <c r="B635" s="57" t="s">
        <v>198</v>
      </c>
      <c r="C635" s="150" t="s">
        <v>1009</v>
      </c>
      <c r="D635" s="151"/>
      <c r="E635" s="151"/>
      <c r="F635" s="151"/>
      <c r="G635" s="151"/>
      <c r="H635" s="151"/>
      <c r="I635" s="151"/>
      <c r="J635" s="151"/>
      <c r="K635" s="152"/>
    </row>
    <row r="636" spans="1:76" ht="14.4" x14ac:dyDescent="0.3">
      <c r="A636" s="53"/>
      <c r="C636" s="54" t="s">
        <v>150</v>
      </c>
      <c r="D636" s="54" t="s">
        <v>4</v>
      </c>
      <c r="F636" s="55">
        <v>6</v>
      </c>
      <c r="K636" s="56"/>
    </row>
    <row r="637" spans="1:76" ht="14.4" x14ac:dyDescent="0.3">
      <c r="A637" s="1" t="s">
        <v>1010</v>
      </c>
      <c r="B637" s="2" t="s">
        <v>1011</v>
      </c>
      <c r="C637" s="75" t="s">
        <v>831</v>
      </c>
      <c r="D637" s="70"/>
      <c r="E637" s="2" t="s">
        <v>233</v>
      </c>
      <c r="F637" s="50">
        <v>18</v>
      </c>
      <c r="G637" s="50">
        <v>0</v>
      </c>
      <c r="H637" s="50">
        <f>ROUND(F637*AO637,2)</f>
        <v>0</v>
      </c>
      <c r="I637" s="50">
        <f>ROUND(F637*AP637,2)</f>
        <v>0</v>
      </c>
      <c r="J637" s="50">
        <f>ROUND(F637*G637,2)</f>
        <v>0</v>
      </c>
      <c r="K637" s="51" t="s">
        <v>116</v>
      </c>
      <c r="Z637" s="50">
        <f>ROUND(IF(AQ637="5",BJ637,0),2)</f>
        <v>0</v>
      </c>
      <c r="AB637" s="50">
        <f>ROUND(IF(AQ637="1",BH637,0),2)</f>
        <v>0</v>
      </c>
      <c r="AC637" s="50">
        <f>ROUND(IF(AQ637="1",BI637,0),2)</f>
        <v>0</v>
      </c>
      <c r="AD637" s="50">
        <f>ROUND(IF(AQ637="7",BH637,0),2)</f>
        <v>0</v>
      </c>
      <c r="AE637" s="50">
        <f>ROUND(IF(AQ637="7",BI637,0),2)</f>
        <v>0</v>
      </c>
      <c r="AF637" s="50">
        <f>ROUND(IF(AQ637="2",BH637,0),2)</f>
        <v>0</v>
      </c>
      <c r="AG637" s="50">
        <f>ROUND(IF(AQ637="2",BI637,0),2)</f>
        <v>0</v>
      </c>
      <c r="AH637" s="50">
        <f>ROUND(IF(AQ637="0",BJ637,0),2)</f>
        <v>0</v>
      </c>
      <c r="AI637" s="32" t="s">
        <v>4</v>
      </c>
      <c r="AJ637" s="50">
        <f>IF(AN637=0,J637,0)</f>
        <v>0</v>
      </c>
      <c r="AK637" s="50">
        <f>IF(AN637=12,J637,0)</f>
        <v>0</v>
      </c>
      <c r="AL637" s="50">
        <f>IF(AN637=21,J637,0)</f>
        <v>0</v>
      </c>
      <c r="AN637" s="50">
        <v>21</v>
      </c>
      <c r="AO637" s="50">
        <f>G637*0.426837646</f>
        <v>0</v>
      </c>
      <c r="AP637" s="50">
        <f>G637*(1-0.426837646)</f>
        <v>0</v>
      </c>
      <c r="AQ637" s="52" t="s">
        <v>158</v>
      </c>
      <c r="AV637" s="50">
        <f>ROUND(AW637+AX637,2)</f>
        <v>0</v>
      </c>
      <c r="AW637" s="50">
        <f>ROUND(F637*AO637,2)</f>
        <v>0</v>
      </c>
      <c r="AX637" s="50">
        <f>ROUND(F637*AP637,2)</f>
        <v>0</v>
      </c>
      <c r="AY637" s="52" t="s">
        <v>1001</v>
      </c>
      <c r="AZ637" s="52" t="s">
        <v>985</v>
      </c>
      <c r="BA637" s="32" t="s">
        <v>119</v>
      </c>
      <c r="BC637" s="50">
        <f>AW637+AX637</f>
        <v>0</v>
      </c>
      <c r="BD637" s="50">
        <f>G637/(100-BE637)*100</f>
        <v>0</v>
      </c>
      <c r="BE637" s="50">
        <v>0</v>
      </c>
      <c r="BF637" s="50">
        <f>637</f>
        <v>637</v>
      </c>
      <c r="BH637" s="50">
        <f>F637*AO637</f>
        <v>0</v>
      </c>
      <c r="BI637" s="50">
        <f>F637*AP637</f>
        <v>0</v>
      </c>
      <c r="BJ637" s="50">
        <f>F637*G637</f>
        <v>0</v>
      </c>
      <c r="BK637" s="50"/>
      <c r="BL637" s="50">
        <v>733</v>
      </c>
      <c r="BW637" s="50">
        <v>21</v>
      </c>
      <c r="BX637" s="3" t="s">
        <v>831</v>
      </c>
    </row>
    <row r="638" spans="1:76" ht="13.5" customHeight="1" x14ac:dyDescent="0.3">
      <c r="A638" s="53"/>
      <c r="B638" s="57" t="s">
        <v>198</v>
      </c>
      <c r="C638" s="150" t="s">
        <v>1012</v>
      </c>
      <c r="D638" s="151"/>
      <c r="E638" s="151"/>
      <c r="F638" s="151"/>
      <c r="G638" s="151"/>
      <c r="H638" s="151"/>
      <c r="I638" s="151"/>
      <c r="J638" s="151"/>
      <c r="K638" s="152"/>
    </row>
    <row r="639" spans="1:76" ht="14.4" x14ac:dyDescent="0.3">
      <c r="A639" s="53"/>
      <c r="C639" s="54" t="s">
        <v>211</v>
      </c>
      <c r="D639" s="54" t="s">
        <v>4</v>
      </c>
      <c r="F639" s="55">
        <v>18</v>
      </c>
      <c r="K639" s="56"/>
    </row>
    <row r="640" spans="1:76" ht="14.4" x14ac:dyDescent="0.3">
      <c r="A640" s="1" t="s">
        <v>1013</v>
      </c>
      <c r="B640" s="2" t="s">
        <v>1014</v>
      </c>
      <c r="C640" s="75" t="s">
        <v>1015</v>
      </c>
      <c r="D640" s="70"/>
      <c r="E640" s="2" t="s">
        <v>173</v>
      </c>
      <c r="F640" s="50">
        <v>1.026E-2</v>
      </c>
      <c r="G640" s="50">
        <v>0</v>
      </c>
      <c r="H640" s="50">
        <f>ROUND(F640*AO640,2)</f>
        <v>0</v>
      </c>
      <c r="I640" s="50">
        <f>ROUND(F640*AP640,2)</f>
        <v>0</v>
      </c>
      <c r="J640" s="50">
        <f>ROUND(F640*G640,2)</f>
        <v>0</v>
      </c>
      <c r="K640" s="51" t="s">
        <v>116</v>
      </c>
      <c r="Z640" s="50">
        <f>ROUND(IF(AQ640="5",BJ640,0),2)</f>
        <v>0</v>
      </c>
      <c r="AB640" s="50">
        <f>ROUND(IF(AQ640="1",BH640,0),2)</f>
        <v>0</v>
      </c>
      <c r="AC640" s="50">
        <f>ROUND(IF(AQ640="1",BI640,0),2)</f>
        <v>0</v>
      </c>
      <c r="AD640" s="50">
        <f>ROUND(IF(AQ640="7",BH640,0),2)</f>
        <v>0</v>
      </c>
      <c r="AE640" s="50">
        <f>ROUND(IF(AQ640="7",BI640,0),2)</f>
        <v>0</v>
      </c>
      <c r="AF640" s="50">
        <f>ROUND(IF(AQ640="2",BH640,0),2)</f>
        <v>0</v>
      </c>
      <c r="AG640" s="50">
        <f>ROUND(IF(AQ640="2",BI640,0),2)</f>
        <v>0</v>
      </c>
      <c r="AH640" s="50">
        <f>ROUND(IF(AQ640="0",BJ640,0),2)</f>
        <v>0</v>
      </c>
      <c r="AI640" s="32" t="s">
        <v>4</v>
      </c>
      <c r="AJ640" s="50">
        <f>IF(AN640=0,J640,0)</f>
        <v>0</v>
      </c>
      <c r="AK640" s="50">
        <f>IF(AN640=12,J640,0)</f>
        <v>0</v>
      </c>
      <c r="AL640" s="50">
        <f>IF(AN640=21,J640,0)</f>
        <v>0</v>
      </c>
      <c r="AN640" s="50">
        <v>21</v>
      </c>
      <c r="AO640" s="50">
        <f>G640*0</f>
        <v>0</v>
      </c>
      <c r="AP640" s="50">
        <f>G640*(1-0)</f>
        <v>0</v>
      </c>
      <c r="AQ640" s="52" t="s">
        <v>147</v>
      </c>
      <c r="AV640" s="50">
        <f>ROUND(AW640+AX640,2)</f>
        <v>0</v>
      </c>
      <c r="AW640" s="50">
        <f>ROUND(F640*AO640,2)</f>
        <v>0</v>
      </c>
      <c r="AX640" s="50">
        <f>ROUND(F640*AP640,2)</f>
        <v>0</v>
      </c>
      <c r="AY640" s="52" t="s">
        <v>1001</v>
      </c>
      <c r="AZ640" s="52" t="s">
        <v>985</v>
      </c>
      <c r="BA640" s="32" t="s">
        <v>119</v>
      </c>
      <c r="BC640" s="50">
        <f>AW640+AX640</f>
        <v>0</v>
      </c>
      <c r="BD640" s="50">
        <f>G640/(100-BE640)*100</f>
        <v>0</v>
      </c>
      <c r="BE640" s="50">
        <v>0</v>
      </c>
      <c r="BF640" s="50">
        <f>640</f>
        <v>640</v>
      </c>
      <c r="BH640" s="50">
        <f>F640*AO640</f>
        <v>0</v>
      </c>
      <c r="BI640" s="50">
        <f>F640*AP640</f>
        <v>0</v>
      </c>
      <c r="BJ640" s="50">
        <f>F640*G640</f>
        <v>0</v>
      </c>
      <c r="BK640" s="50"/>
      <c r="BL640" s="50">
        <v>733</v>
      </c>
      <c r="BW640" s="50">
        <v>21</v>
      </c>
      <c r="BX640" s="3" t="s">
        <v>1015</v>
      </c>
    </row>
    <row r="641" spans="1:76" ht="14.4" x14ac:dyDescent="0.3">
      <c r="A641" s="46" t="s">
        <v>4</v>
      </c>
      <c r="B641" s="47" t="s">
        <v>1016</v>
      </c>
      <c r="C641" s="148" t="s">
        <v>1017</v>
      </c>
      <c r="D641" s="149"/>
      <c r="E641" s="48" t="s">
        <v>74</v>
      </c>
      <c r="F641" s="48" t="s">
        <v>74</v>
      </c>
      <c r="G641" s="48" t="s">
        <v>74</v>
      </c>
      <c r="H641" s="26">
        <f>SUM(H642:H646)</f>
        <v>0</v>
      </c>
      <c r="I641" s="26">
        <f>SUM(I642:I646)</f>
        <v>0</v>
      </c>
      <c r="J641" s="26">
        <f>SUM(J642:J646)</f>
        <v>0</v>
      </c>
      <c r="K641" s="49" t="s">
        <v>4</v>
      </c>
      <c r="AI641" s="32" t="s">
        <v>4</v>
      </c>
      <c r="AS641" s="26">
        <f>SUM(AJ642:AJ646)</f>
        <v>0</v>
      </c>
      <c r="AT641" s="26">
        <f>SUM(AK642:AK646)</f>
        <v>0</v>
      </c>
      <c r="AU641" s="26">
        <f>SUM(AL642:AL646)</f>
        <v>0</v>
      </c>
    </row>
    <row r="642" spans="1:76" ht="14.4" x14ac:dyDescent="0.3">
      <c r="A642" s="1" t="s">
        <v>1018</v>
      </c>
      <c r="B642" s="2" t="s">
        <v>1019</v>
      </c>
      <c r="C642" s="75" t="s">
        <v>1020</v>
      </c>
      <c r="D642" s="70"/>
      <c r="E642" s="2" t="s">
        <v>278</v>
      </c>
      <c r="F642" s="50">
        <v>2</v>
      </c>
      <c r="G642" s="50">
        <v>0</v>
      </c>
      <c r="H642" s="50">
        <f>ROUND(F642*AO642,2)</f>
        <v>0</v>
      </c>
      <c r="I642" s="50">
        <f>ROUND(F642*AP642,2)</f>
        <v>0</v>
      </c>
      <c r="J642" s="50">
        <f>ROUND(F642*G642,2)</f>
        <v>0</v>
      </c>
      <c r="K642" s="51" t="s">
        <v>116</v>
      </c>
      <c r="Z642" s="50">
        <f>ROUND(IF(AQ642="5",BJ642,0),2)</f>
        <v>0</v>
      </c>
      <c r="AB642" s="50">
        <f>ROUND(IF(AQ642="1",BH642,0),2)</f>
        <v>0</v>
      </c>
      <c r="AC642" s="50">
        <f>ROUND(IF(AQ642="1",BI642,0),2)</f>
        <v>0</v>
      </c>
      <c r="AD642" s="50">
        <f>ROUND(IF(AQ642="7",BH642,0),2)</f>
        <v>0</v>
      </c>
      <c r="AE642" s="50">
        <f>ROUND(IF(AQ642="7",BI642,0),2)</f>
        <v>0</v>
      </c>
      <c r="AF642" s="50">
        <f>ROUND(IF(AQ642="2",BH642,0),2)</f>
        <v>0</v>
      </c>
      <c r="AG642" s="50">
        <f>ROUND(IF(AQ642="2",BI642,0),2)</f>
        <v>0</v>
      </c>
      <c r="AH642" s="50">
        <f>ROUND(IF(AQ642="0",BJ642,0),2)</f>
        <v>0</v>
      </c>
      <c r="AI642" s="32" t="s">
        <v>4</v>
      </c>
      <c r="AJ642" s="50">
        <f>IF(AN642=0,J642,0)</f>
        <v>0</v>
      </c>
      <c r="AK642" s="50">
        <f>IF(AN642=12,J642,0)</f>
        <v>0</v>
      </c>
      <c r="AL642" s="50">
        <f>IF(AN642=21,J642,0)</f>
        <v>0</v>
      </c>
      <c r="AN642" s="50">
        <v>21</v>
      </c>
      <c r="AO642" s="50">
        <f>G642*0.619091725</f>
        <v>0</v>
      </c>
      <c r="AP642" s="50">
        <f>G642*(1-0.619091725)</f>
        <v>0</v>
      </c>
      <c r="AQ642" s="52" t="s">
        <v>158</v>
      </c>
      <c r="AV642" s="50">
        <f>ROUND(AW642+AX642,2)</f>
        <v>0</v>
      </c>
      <c r="AW642" s="50">
        <f>ROUND(F642*AO642,2)</f>
        <v>0</v>
      </c>
      <c r="AX642" s="50">
        <f>ROUND(F642*AP642,2)</f>
        <v>0</v>
      </c>
      <c r="AY642" s="52" t="s">
        <v>1021</v>
      </c>
      <c r="AZ642" s="52" t="s">
        <v>985</v>
      </c>
      <c r="BA642" s="32" t="s">
        <v>119</v>
      </c>
      <c r="BC642" s="50">
        <f>AW642+AX642</f>
        <v>0</v>
      </c>
      <c r="BD642" s="50">
        <f>G642/(100-BE642)*100</f>
        <v>0</v>
      </c>
      <c r="BE642" s="50">
        <v>0</v>
      </c>
      <c r="BF642" s="50">
        <f>642</f>
        <v>642</v>
      </c>
      <c r="BH642" s="50">
        <f>F642*AO642</f>
        <v>0</v>
      </c>
      <c r="BI642" s="50">
        <f>F642*AP642</f>
        <v>0</v>
      </c>
      <c r="BJ642" s="50">
        <f>F642*G642</f>
        <v>0</v>
      </c>
      <c r="BK642" s="50"/>
      <c r="BL642" s="50">
        <v>734</v>
      </c>
      <c r="BW642" s="50">
        <v>21</v>
      </c>
      <c r="BX642" s="3" t="s">
        <v>1020</v>
      </c>
    </row>
    <row r="643" spans="1:76" ht="14.4" x14ac:dyDescent="0.3">
      <c r="A643" s="53"/>
      <c r="C643" s="54" t="s">
        <v>132</v>
      </c>
      <c r="D643" s="54" t="s">
        <v>4</v>
      </c>
      <c r="F643" s="55">
        <v>2</v>
      </c>
      <c r="K643" s="56"/>
    </row>
    <row r="644" spans="1:76" ht="14.4" x14ac:dyDescent="0.3">
      <c r="A644" s="1" t="s">
        <v>1022</v>
      </c>
      <c r="B644" s="2" t="s">
        <v>1023</v>
      </c>
      <c r="C644" s="75" t="s">
        <v>1024</v>
      </c>
      <c r="D644" s="70"/>
      <c r="E644" s="2" t="s">
        <v>278</v>
      </c>
      <c r="F644" s="50">
        <v>1</v>
      </c>
      <c r="G644" s="50">
        <v>0</v>
      </c>
      <c r="H644" s="50">
        <f>ROUND(F644*AO644,2)</f>
        <v>0</v>
      </c>
      <c r="I644" s="50">
        <f>ROUND(F644*AP644,2)</f>
        <v>0</v>
      </c>
      <c r="J644" s="50">
        <f>ROUND(F644*G644,2)</f>
        <v>0</v>
      </c>
      <c r="K644" s="51" t="s">
        <v>116</v>
      </c>
      <c r="Z644" s="50">
        <f>ROUND(IF(AQ644="5",BJ644,0),2)</f>
        <v>0</v>
      </c>
      <c r="AB644" s="50">
        <f>ROUND(IF(AQ644="1",BH644,0),2)</f>
        <v>0</v>
      </c>
      <c r="AC644" s="50">
        <f>ROUND(IF(AQ644="1",BI644,0),2)</f>
        <v>0</v>
      </c>
      <c r="AD644" s="50">
        <f>ROUND(IF(AQ644="7",BH644,0),2)</f>
        <v>0</v>
      </c>
      <c r="AE644" s="50">
        <f>ROUND(IF(AQ644="7",BI644,0),2)</f>
        <v>0</v>
      </c>
      <c r="AF644" s="50">
        <f>ROUND(IF(AQ644="2",BH644,0),2)</f>
        <v>0</v>
      </c>
      <c r="AG644" s="50">
        <f>ROUND(IF(AQ644="2",BI644,0),2)</f>
        <v>0</v>
      </c>
      <c r="AH644" s="50">
        <f>ROUND(IF(AQ644="0",BJ644,0),2)</f>
        <v>0</v>
      </c>
      <c r="AI644" s="32" t="s">
        <v>4</v>
      </c>
      <c r="AJ644" s="50">
        <f>IF(AN644=0,J644,0)</f>
        <v>0</v>
      </c>
      <c r="AK644" s="50">
        <f>IF(AN644=12,J644,0)</f>
        <v>0</v>
      </c>
      <c r="AL644" s="50">
        <f>IF(AN644=21,J644,0)</f>
        <v>0</v>
      </c>
      <c r="AN644" s="50">
        <v>21</v>
      </c>
      <c r="AO644" s="50">
        <f>G644*0.673441028</f>
        <v>0</v>
      </c>
      <c r="AP644" s="50">
        <f>G644*(1-0.673441028)</f>
        <v>0</v>
      </c>
      <c r="AQ644" s="52" t="s">
        <v>158</v>
      </c>
      <c r="AV644" s="50">
        <f>ROUND(AW644+AX644,2)</f>
        <v>0</v>
      </c>
      <c r="AW644" s="50">
        <f>ROUND(F644*AO644,2)</f>
        <v>0</v>
      </c>
      <c r="AX644" s="50">
        <f>ROUND(F644*AP644,2)</f>
        <v>0</v>
      </c>
      <c r="AY644" s="52" t="s">
        <v>1021</v>
      </c>
      <c r="AZ644" s="52" t="s">
        <v>985</v>
      </c>
      <c r="BA644" s="32" t="s">
        <v>119</v>
      </c>
      <c r="BC644" s="50">
        <f>AW644+AX644</f>
        <v>0</v>
      </c>
      <c r="BD644" s="50">
        <f>G644/(100-BE644)*100</f>
        <v>0</v>
      </c>
      <c r="BE644" s="50">
        <v>0</v>
      </c>
      <c r="BF644" s="50">
        <f>644</f>
        <v>644</v>
      </c>
      <c r="BH644" s="50">
        <f>F644*AO644</f>
        <v>0</v>
      </c>
      <c r="BI644" s="50">
        <f>F644*AP644</f>
        <v>0</v>
      </c>
      <c r="BJ644" s="50">
        <f>F644*G644</f>
        <v>0</v>
      </c>
      <c r="BK644" s="50"/>
      <c r="BL644" s="50">
        <v>734</v>
      </c>
      <c r="BW644" s="50">
        <v>21</v>
      </c>
      <c r="BX644" s="3" t="s">
        <v>1024</v>
      </c>
    </row>
    <row r="645" spans="1:76" ht="14.4" x14ac:dyDescent="0.3">
      <c r="A645" s="53"/>
      <c r="C645" s="54" t="s">
        <v>112</v>
      </c>
      <c r="D645" s="54" t="s">
        <v>4</v>
      </c>
      <c r="F645" s="55">
        <v>1</v>
      </c>
      <c r="K645" s="56"/>
    </row>
    <row r="646" spans="1:76" ht="14.4" x14ac:dyDescent="0.3">
      <c r="A646" s="1" t="s">
        <v>1025</v>
      </c>
      <c r="B646" s="2" t="s">
        <v>1026</v>
      </c>
      <c r="C646" s="75" t="s">
        <v>1027</v>
      </c>
      <c r="D646" s="70"/>
      <c r="E646" s="2" t="s">
        <v>278</v>
      </c>
      <c r="F646" s="50">
        <v>1</v>
      </c>
      <c r="G646" s="50">
        <v>0</v>
      </c>
      <c r="H646" s="50">
        <f>ROUND(F646*AO646,2)</f>
        <v>0</v>
      </c>
      <c r="I646" s="50">
        <f>ROUND(F646*AP646,2)</f>
        <v>0</v>
      </c>
      <c r="J646" s="50">
        <f>ROUND(F646*G646,2)</f>
        <v>0</v>
      </c>
      <c r="K646" s="51" t="s">
        <v>116</v>
      </c>
      <c r="Z646" s="50">
        <f>ROUND(IF(AQ646="5",BJ646,0),2)</f>
        <v>0</v>
      </c>
      <c r="AB646" s="50">
        <f>ROUND(IF(AQ646="1",BH646,0),2)</f>
        <v>0</v>
      </c>
      <c r="AC646" s="50">
        <f>ROUND(IF(AQ646="1",BI646,0),2)</f>
        <v>0</v>
      </c>
      <c r="AD646" s="50">
        <f>ROUND(IF(AQ646="7",BH646,0),2)</f>
        <v>0</v>
      </c>
      <c r="AE646" s="50">
        <f>ROUND(IF(AQ646="7",BI646,0),2)</f>
        <v>0</v>
      </c>
      <c r="AF646" s="50">
        <f>ROUND(IF(AQ646="2",BH646,0),2)</f>
        <v>0</v>
      </c>
      <c r="AG646" s="50">
        <f>ROUND(IF(AQ646="2",BI646,0),2)</f>
        <v>0</v>
      </c>
      <c r="AH646" s="50">
        <f>ROUND(IF(AQ646="0",BJ646,0),2)</f>
        <v>0</v>
      </c>
      <c r="AI646" s="32" t="s">
        <v>4</v>
      </c>
      <c r="AJ646" s="50">
        <f>IF(AN646=0,J646,0)</f>
        <v>0</v>
      </c>
      <c r="AK646" s="50">
        <f>IF(AN646=12,J646,0)</f>
        <v>0</v>
      </c>
      <c r="AL646" s="50">
        <f>IF(AN646=21,J646,0)</f>
        <v>0</v>
      </c>
      <c r="AN646" s="50">
        <v>21</v>
      </c>
      <c r="AO646" s="50">
        <f>G646*0.777698948</f>
        <v>0</v>
      </c>
      <c r="AP646" s="50">
        <f>G646*(1-0.777698948)</f>
        <v>0</v>
      </c>
      <c r="AQ646" s="52" t="s">
        <v>158</v>
      </c>
      <c r="AV646" s="50">
        <f>ROUND(AW646+AX646,2)</f>
        <v>0</v>
      </c>
      <c r="AW646" s="50">
        <f>ROUND(F646*AO646,2)</f>
        <v>0</v>
      </c>
      <c r="AX646" s="50">
        <f>ROUND(F646*AP646,2)</f>
        <v>0</v>
      </c>
      <c r="AY646" s="52" t="s">
        <v>1021</v>
      </c>
      <c r="AZ646" s="52" t="s">
        <v>985</v>
      </c>
      <c r="BA646" s="32" t="s">
        <v>119</v>
      </c>
      <c r="BC646" s="50">
        <f>AW646+AX646</f>
        <v>0</v>
      </c>
      <c r="BD646" s="50">
        <f>G646/(100-BE646)*100</f>
        <v>0</v>
      </c>
      <c r="BE646" s="50">
        <v>0</v>
      </c>
      <c r="BF646" s="50">
        <f>646</f>
        <v>646</v>
      </c>
      <c r="BH646" s="50">
        <f>F646*AO646</f>
        <v>0</v>
      </c>
      <c r="BI646" s="50">
        <f>F646*AP646</f>
        <v>0</v>
      </c>
      <c r="BJ646" s="50">
        <f>F646*G646</f>
        <v>0</v>
      </c>
      <c r="BK646" s="50"/>
      <c r="BL646" s="50">
        <v>734</v>
      </c>
      <c r="BW646" s="50">
        <v>21</v>
      </c>
      <c r="BX646" s="3" t="s">
        <v>1027</v>
      </c>
    </row>
    <row r="647" spans="1:76" ht="14.4" x14ac:dyDescent="0.3">
      <c r="A647" s="53"/>
      <c r="C647" s="54" t="s">
        <v>112</v>
      </c>
      <c r="D647" s="54" t="s">
        <v>4</v>
      </c>
      <c r="F647" s="55">
        <v>1</v>
      </c>
      <c r="K647" s="56"/>
    </row>
    <row r="648" spans="1:76" ht="14.4" x14ac:dyDescent="0.3">
      <c r="A648" s="46" t="s">
        <v>4</v>
      </c>
      <c r="B648" s="47" t="s">
        <v>1028</v>
      </c>
      <c r="C648" s="148" t="s">
        <v>1029</v>
      </c>
      <c r="D648" s="149"/>
      <c r="E648" s="48" t="s">
        <v>74</v>
      </c>
      <c r="F648" s="48" t="s">
        <v>74</v>
      </c>
      <c r="G648" s="48" t="s">
        <v>74</v>
      </c>
      <c r="H648" s="26">
        <f>SUM(H649:H649)</f>
        <v>0</v>
      </c>
      <c r="I648" s="26">
        <f>SUM(I649:I649)</f>
        <v>0</v>
      </c>
      <c r="J648" s="26">
        <f>SUM(J649:J649)</f>
        <v>0</v>
      </c>
      <c r="K648" s="49" t="s">
        <v>4</v>
      </c>
      <c r="AI648" s="32" t="s">
        <v>4</v>
      </c>
      <c r="AS648" s="26">
        <f>SUM(AJ649:AJ649)</f>
        <v>0</v>
      </c>
      <c r="AT648" s="26">
        <f>SUM(AK649:AK649)</f>
        <v>0</v>
      </c>
      <c r="AU648" s="26">
        <f>SUM(AL649:AL649)</f>
        <v>0</v>
      </c>
    </row>
    <row r="649" spans="1:76" ht="14.4" x14ac:dyDescent="0.3">
      <c r="A649" s="1" t="s">
        <v>1030</v>
      </c>
      <c r="B649" s="2" t="s">
        <v>1031</v>
      </c>
      <c r="C649" s="75" t="s">
        <v>1032</v>
      </c>
      <c r="D649" s="70"/>
      <c r="E649" s="2" t="s">
        <v>278</v>
      </c>
      <c r="F649" s="50">
        <v>1</v>
      </c>
      <c r="G649" s="50">
        <v>0</v>
      </c>
      <c r="H649" s="50">
        <f>ROUND(F649*AO649,2)</f>
        <v>0</v>
      </c>
      <c r="I649" s="50">
        <f>ROUND(F649*AP649,2)</f>
        <v>0</v>
      </c>
      <c r="J649" s="50">
        <f>ROUND(F649*G649,2)</f>
        <v>0</v>
      </c>
      <c r="K649" s="51" t="s">
        <v>116</v>
      </c>
      <c r="Z649" s="50">
        <f>ROUND(IF(AQ649="5",BJ649,0),2)</f>
        <v>0</v>
      </c>
      <c r="AB649" s="50">
        <f>ROUND(IF(AQ649="1",BH649,0),2)</f>
        <v>0</v>
      </c>
      <c r="AC649" s="50">
        <f>ROUND(IF(AQ649="1",BI649,0),2)</f>
        <v>0</v>
      </c>
      <c r="AD649" s="50">
        <f>ROUND(IF(AQ649="7",BH649,0),2)</f>
        <v>0</v>
      </c>
      <c r="AE649" s="50">
        <f>ROUND(IF(AQ649="7",BI649,0),2)</f>
        <v>0</v>
      </c>
      <c r="AF649" s="50">
        <f>ROUND(IF(AQ649="2",BH649,0),2)</f>
        <v>0</v>
      </c>
      <c r="AG649" s="50">
        <f>ROUND(IF(AQ649="2",BI649,0),2)</f>
        <v>0</v>
      </c>
      <c r="AH649" s="50">
        <f>ROUND(IF(AQ649="0",BJ649,0),2)</f>
        <v>0</v>
      </c>
      <c r="AI649" s="32" t="s">
        <v>4</v>
      </c>
      <c r="AJ649" s="50">
        <f>IF(AN649=0,J649,0)</f>
        <v>0</v>
      </c>
      <c r="AK649" s="50">
        <f>IF(AN649=12,J649,0)</f>
        <v>0</v>
      </c>
      <c r="AL649" s="50">
        <f>IF(AN649=21,J649,0)</f>
        <v>0</v>
      </c>
      <c r="AN649" s="50">
        <v>21</v>
      </c>
      <c r="AO649" s="50">
        <f>G649*0.856239757</f>
        <v>0</v>
      </c>
      <c r="AP649" s="50">
        <f>G649*(1-0.856239757)</f>
        <v>0</v>
      </c>
      <c r="AQ649" s="52" t="s">
        <v>158</v>
      </c>
      <c r="AV649" s="50">
        <f>ROUND(AW649+AX649,2)</f>
        <v>0</v>
      </c>
      <c r="AW649" s="50">
        <f>ROUND(F649*AO649,2)</f>
        <v>0</v>
      </c>
      <c r="AX649" s="50">
        <f>ROUND(F649*AP649,2)</f>
        <v>0</v>
      </c>
      <c r="AY649" s="52" t="s">
        <v>1033</v>
      </c>
      <c r="AZ649" s="52" t="s">
        <v>985</v>
      </c>
      <c r="BA649" s="32" t="s">
        <v>119</v>
      </c>
      <c r="BC649" s="50">
        <f>AW649+AX649</f>
        <v>0</v>
      </c>
      <c r="BD649" s="50">
        <f>G649/(100-BE649)*100</f>
        <v>0</v>
      </c>
      <c r="BE649" s="50">
        <v>0</v>
      </c>
      <c r="BF649" s="50">
        <f>649</f>
        <v>649</v>
      </c>
      <c r="BH649" s="50">
        <f>F649*AO649</f>
        <v>0</v>
      </c>
      <c r="BI649" s="50">
        <f>F649*AP649</f>
        <v>0</v>
      </c>
      <c r="BJ649" s="50">
        <f>F649*G649</f>
        <v>0</v>
      </c>
      <c r="BK649" s="50"/>
      <c r="BL649" s="50">
        <v>735</v>
      </c>
      <c r="BW649" s="50">
        <v>21</v>
      </c>
      <c r="BX649" s="3" t="s">
        <v>1032</v>
      </c>
    </row>
    <row r="650" spans="1:76" ht="14.4" x14ac:dyDescent="0.3">
      <c r="A650" s="53"/>
      <c r="C650" s="54" t="s">
        <v>112</v>
      </c>
      <c r="D650" s="54" t="s">
        <v>4</v>
      </c>
      <c r="F650" s="55">
        <v>1</v>
      </c>
      <c r="K650" s="56"/>
    </row>
    <row r="651" spans="1:76" ht="14.4" x14ac:dyDescent="0.3">
      <c r="A651" s="46" t="s">
        <v>4</v>
      </c>
      <c r="B651" s="47" t="s">
        <v>1034</v>
      </c>
      <c r="C651" s="148" t="s">
        <v>1035</v>
      </c>
      <c r="D651" s="149"/>
      <c r="E651" s="48" t="s">
        <v>74</v>
      </c>
      <c r="F651" s="48" t="s">
        <v>74</v>
      </c>
      <c r="G651" s="48" t="s">
        <v>74</v>
      </c>
      <c r="H651" s="26">
        <f>SUM(H652:H685)</f>
        <v>0</v>
      </c>
      <c r="I651" s="26">
        <f>SUM(I652:I685)</f>
        <v>0</v>
      </c>
      <c r="J651" s="26">
        <f>SUM(J652:J685)</f>
        <v>0</v>
      </c>
      <c r="K651" s="49" t="s">
        <v>4</v>
      </c>
      <c r="AI651" s="32" t="s">
        <v>4</v>
      </c>
      <c r="AS651" s="26">
        <f>SUM(AJ652:AJ685)</f>
        <v>0</v>
      </c>
      <c r="AT651" s="26">
        <f>SUM(AK652:AK685)</f>
        <v>0</v>
      </c>
      <c r="AU651" s="26">
        <f>SUM(AL652:AL685)</f>
        <v>0</v>
      </c>
    </row>
    <row r="652" spans="1:76" ht="14.4" x14ac:dyDescent="0.3">
      <c r="A652" s="1" t="s">
        <v>1036</v>
      </c>
      <c r="B652" s="2" t="s">
        <v>1037</v>
      </c>
      <c r="C652" s="75" t="s">
        <v>1038</v>
      </c>
      <c r="D652" s="70"/>
      <c r="E652" s="2" t="s">
        <v>216</v>
      </c>
      <c r="F652" s="50">
        <v>98</v>
      </c>
      <c r="G652" s="50">
        <v>0</v>
      </c>
      <c r="H652" s="50">
        <f>ROUND(F652*AO652,2)</f>
        <v>0</v>
      </c>
      <c r="I652" s="50">
        <f>ROUND(F652*AP652,2)</f>
        <v>0</v>
      </c>
      <c r="J652" s="50">
        <f>ROUND(F652*G652,2)</f>
        <v>0</v>
      </c>
      <c r="K652" s="51" t="s">
        <v>116</v>
      </c>
      <c r="Z652" s="50">
        <f>ROUND(IF(AQ652="5",BJ652,0),2)</f>
        <v>0</v>
      </c>
      <c r="AB652" s="50">
        <f>ROUND(IF(AQ652="1",BH652,0),2)</f>
        <v>0</v>
      </c>
      <c r="AC652" s="50">
        <f>ROUND(IF(AQ652="1",BI652,0),2)</f>
        <v>0</v>
      </c>
      <c r="AD652" s="50">
        <f>ROUND(IF(AQ652="7",BH652,0),2)</f>
        <v>0</v>
      </c>
      <c r="AE652" s="50">
        <f>ROUND(IF(AQ652="7",BI652,0),2)</f>
        <v>0</v>
      </c>
      <c r="AF652" s="50">
        <f>ROUND(IF(AQ652="2",BH652,0),2)</f>
        <v>0</v>
      </c>
      <c r="AG652" s="50">
        <f>ROUND(IF(AQ652="2",BI652,0),2)</f>
        <v>0</v>
      </c>
      <c r="AH652" s="50">
        <f>ROUND(IF(AQ652="0",BJ652,0),2)</f>
        <v>0</v>
      </c>
      <c r="AI652" s="32" t="s">
        <v>4</v>
      </c>
      <c r="AJ652" s="50">
        <f>IF(AN652=0,J652,0)</f>
        <v>0</v>
      </c>
      <c r="AK652" s="50">
        <f>IF(AN652=12,J652,0)</f>
        <v>0</v>
      </c>
      <c r="AL652" s="50">
        <f>IF(AN652=21,J652,0)</f>
        <v>0</v>
      </c>
      <c r="AN652" s="50">
        <v>21</v>
      </c>
      <c r="AO652" s="50">
        <f>G652*0.836698002</f>
        <v>0</v>
      </c>
      <c r="AP652" s="50">
        <f>G652*(1-0.836698002)</f>
        <v>0</v>
      </c>
      <c r="AQ652" s="52" t="s">
        <v>158</v>
      </c>
      <c r="AV652" s="50">
        <f>ROUND(AW652+AX652,2)</f>
        <v>0</v>
      </c>
      <c r="AW652" s="50">
        <f>ROUND(F652*AO652,2)</f>
        <v>0</v>
      </c>
      <c r="AX652" s="50">
        <f>ROUND(F652*AP652,2)</f>
        <v>0</v>
      </c>
      <c r="AY652" s="52" t="s">
        <v>1039</v>
      </c>
      <c r="AZ652" s="52" t="s">
        <v>985</v>
      </c>
      <c r="BA652" s="32" t="s">
        <v>119</v>
      </c>
      <c r="BC652" s="50">
        <f>AW652+AX652</f>
        <v>0</v>
      </c>
      <c r="BD652" s="50">
        <f>G652/(100-BE652)*100</f>
        <v>0</v>
      </c>
      <c r="BE652" s="50">
        <v>0</v>
      </c>
      <c r="BF652" s="50">
        <f>652</f>
        <v>652</v>
      </c>
      <c r="BH652" s="50">
        <f>F652*AO652</f>
        <v>0</v>
      </c>
      <c r="BI652" s="50">
        <f>F652*AP652</f>
        <v>0</v>
      </c>
      <c r="BJ652" s="50">
        <f>F652*G652</f>
        <v>0</v>
      </c>
      <c r="BK652" s="50"/>
      <c r="BL652" s="50">
        <v>736</v>
      </c>
      <c r="BW652" s="50">
        <v>21</v>
      </c>
      <c r="BX652" s="3" t="s">
        <v>1038</v>
      </c>
    </row>
    <row r="653" spans="1:76" ht="14.4" x14ac:dyDescent="0.3">
      <c r="A653" s="53"/>
      <c r="C653" s="54" t="s">
        <v>627</v>
      </c>
      <c r="D653" s="54" t="s">
        <v>4</v>
      </c>
      <c r="F653" s="55">
        <v>98</v>
      </c>
      <c r="K653" s="56"/>
    </row>
    <row r="654" spans="1:76" ht="14.4" x14ac:dyDescent="0.3">
      <c r="A654" s="1" t="s">
        <v>1040</v>
      </c>
      <c r="B654" s="2" t="s">
        <v>1041</v>
      </c>
      <c r="C654" s="75" t="s">
        <v>1042</v>
      </c>
      <c r="D654" s="70"/>
      <c r="E654" s="2" t="s">
        <v>216</v>
      </c>
      <c r="F654" s="50">
        <v>22.288499999999999</v>
      </c>
      <c r="G654" s="50">
        <v>0</v>
      </c>
      <c r="H654" s="50">
        <f>ROUND(F654*AO654,2)</f>
        <v>0</v>
      </c>
      <c r="I654" s="50">
        <f>ROUND(F654*AP654,2)</f>
        <v>0</v>
      </c>
      <c r="J654" s="50">
        <f>ROUND(F654*G654,2)</f>
        <v>0</v>
      </c>
      <c r="K654" s="51" t="s">
        <v>116</v>
      </c>
      <c r="Z654" s="50">
        <f>ROUND(IF(AQ654="5",BJ654,0),2)</f>
        <v>0</v>
      </c>
      <c r="AB654" s="50">
        <f>ROUND(IF(AQ654="1",BH654,0),2)</f>
        <v>0</v>
      </c>
      <c r="AC654" s="50">
        <f>ROUND(IF(AQ654="1",BI654,0),2)</f>
        <v>0</v>
      </c>
      <c r="AD654" s="50">
        <f>ROUND(IF(AQ654="7",BH654,0),2)</f>
        <v>0</v>
      </c>
      <c r="AE654" s="50">
        <f>ROUND(IF(AQ654="7",BI654,0),2)</f>
        <v>0</v>
      </c>
      <c r="AF654" s="50">
        <f>ROUND(IF(AQ654="2",BH654,0),2)</f>
        <v>0</v>
      </c>
      <c r="AG654" s="50">
        <f>ROUND(IF(AQ654="2",BI654,0),2)</f>
        <v>0</v>
      </c>
      <c r="AH654" s="50">
        <f>ROUND(IF(AQ654="0",BJ654,0),2)</f>
        <v>0</v>
      </c>
      <c r="AI654" s="32" t="s">
        <v>4</v>
      </c>
      <c r="AJ654" s="50">
        <f>IF(AN654=0,J654,0)</f>
        <v>0</v>
      </c>
      <c r="AK654" s="50">
        <f>IF(AN654=12,J654,0)</f>
        <v>0</v>
      </c>
      <c r="AL654" s="50">
        <f>IF(AN654=21,J654,0)</f>
        <v>0</v>
      </c>
      <c r="AN654" s="50">
        <v>21</v>
      </c>
      <c r="AO654" s="50">
        <f>G654*0.723948318</f>
        <v>0</v>
      </c>
      <c r="AP654" s="50">
        <f>G654*(1-0.723948318)</f>
        <v>0</v>
      </c>
      <c r="AQ654" s="52" t="s">
        <v>158</v>
      </c>
      <c r="AV654" s="50">
        <f>ROUND(AW654+AX654,2)</f>
        <v>0</v>
      </c>
      <c r="AW654" s="50">
        <f>ROUND(F654*AO654,2)</f>
        <v>0</v>
      </c>
      <c r="AX654" s="50">
        <f>ROUND(F654*AP654,2)</f>
        <v>0</v>
      </c>
      <c r="AY654" s="52" t="s">
        <v>1039</v>
      </c>
      <c r="AZ654" s="52" t="s">
        <v>985</v>
      </c>
      <c r="BA654" s="32" t="s">
        <v>119</v>
      </c>
      <c r="BC654" s="50">
        <f>AW654+AX654</f>
        <v>0</v>
      </c>
      <c r="BD654" s="50">
        <f>G654/(100-BE654)*100</f>
        <v>0</v>
      </c>
      <c r="BE654" s="50">
        <v>0</v>
      </c>
      <c r="BF654" s="50">
        <f>654</f>
        <v>654</v>
      </c>
      <c r="BH654" s="50">
        <f>F654*AO654</f>
        <v>0</v>
      </c>
      <c r="BI654" s="50">
        <f>F654*AP654</f>
        <v>0</v>
      </c>
      <c r="BJ654" s="50">
        <f>F654*G654</f>
        <v>0</v>
      </c>
      <c r="BK654" s="50"/>
      <c r="BL654" s="50">
        <v>736</v>
      </c>
      <c r="BW654" s="50">
        <v>21</v>
      </c>
      <c r="BX654" s="3" t="s">
        <v>1042</v>
      </c>
    </row>
    <row r="655" spans="1:76" ht="13.5" customHeight="1" x14ac:dyDescent="0.3">
      <c r="A655" s="53"/>
      <c r="B655" s="57" t="s">
        <v>198</v>
      </c>
      <c r="C655" s="150" t="s">
        <v>1043</v>
      </c>
      <c r="D655" s="151"/>
      <c r="E655" s="151"/>
      <c r="F655" s="151"/>
      <c r="G655" s="151"/>
      <c r="H655" s="151"/>
      <c r="I655" s="151"/>
      <c r="J655" s="151"/>
      <c r="K655" s="152"/>
    </row>
    <row r="656" spans="1:76" ht="14.4" x14ac:dyDescent="0.3">
      <c r="A656" s="53"/>
      <c r="C656" s="54" t="s">
        <v>1044</v>
      </c>
      <c r="D656" s="54" t="s">
        <v>4</v>
      </c>
      <c r="F656" s="55">
        <v>0.94850000000000001</v>
      </c>
      <c r="K656" s="56"/>
    </row>
    <row r="657" spans="1:76" ht="14.4" x14ac:dyDescent="0.3">
      <c r="A657" s="53"/>
      <c r="C657" s="54" t="s">
        <v>1045</v>
      </c>
      <c r="D657" s="54" t="s">
        <v>4</v>
      </c>
      <c r="F657" s="55">
        <v>2.0299999999999998</v>
      </c>
      <c r="K657" s="56"/>
    </row>
    <row r="658" spans="1:76" ht="14.4" x14ac:dyDescent="0.3">
      <c r="A658" s="53"/>
      <c r="C658" s="54" t="s">
        <v>1046</v>
      </c>
      <c r="D658" s="54" t="s">
        <v>4</v>
      </c>
      <c r="F658" s="55">
        <v>4.5</v>
      </c>
      <c r="K658" s="56"/>
    </row>
    <row r="659" spans="1:76" ht="14.4" x14ac:dyDescent="0.3">
      <c r="A659" s="53"/>
      <c r="C659" s="54" t="s">
        <v>1047</v>
      </c>
      <c r="D659" s="54" t="s">
        <v>4</v>
      </c>
      <c r="F659" s="55">
        <v>7.46</v>
      </c>
      <c r="K659" s="56"/>
    </row>
    <row r="660" spans="1:76" ht="14.4" x14ac:dyDescent="0.3">
      <c r="A660" s="53"/>
      <c r="C660" s="54" t="s">
        <v>1048</v>
      </c>
      <c r="D660" s="54" t="s">
        <v>4</v>
      </c>
      <c r="F660" s="55">
        <v>1.365</v>
      </c>
      <c r="K660" s="56"/>
    </row>
    <row r="661" spans="1:76" ht="14.4" x14ac:dyDescent="0.3">
      <c r="A661" s="53"/>
      <c r="C661" s="54" t="s">
        <v>1049</v>
      </c>
      <c r="D661" s="54" t="s">
        <v>4</v>
      </c>
      <c r="F661" s="55">
        <v>2.8</v>
      </c>
      <c r="K661" s="56"/>
    </row>
    <row r="662" spans="1:76" ht="14.4" x14ac:dyDescent="0.3">
      <c r="A662" s="53"/>
      <c r="C662" s="54" t="s">
        <v>1050</v>
      </c>
      <c r="D662" s="54" t="s">
        <v>4</v>
      </c>
      <c r="F662" s="55">
        <v>3.1850000000000001</v>
      </c>
      <c r="K662" s="56"/>
    </row>
    <row r="663" spans="1:76" ht="14.4" x14ac:dyDescent="0.3">
      <c r="A663" s="1" t="s">
        <v>1051</v>
      </c>
      <c r="B663" s="2" t="s">
        <v>1052</v>
      </c>
      <c r="C663" s="75" t="s">
        <v>1042</v>
      </c>
      <c r="D663" s="70"/>
      <c r="E663" s="2" t="s">
        <v>216</v>
      </c>
      <c r="F663" s="50">
        <v>42.7</v>
      </c>
      <c r="G663" s="50">
        <v>0</v>
      </c>
      <c r="H663" s="50">
        <f>ROUND(F663*AO663,2)</f>
        <v>0</v>
      </c>
      <c r="I663" s="50">
        <f>ROUND(F663*AP663,2)</f>
        <v>0</v>
      </c>
      <c r="J663" s="50">
        <f>ROUND(F663*G663,2)</f>
        <v>0</v>
      </c>
      <c r="K663" s="51" t="s">
        <v>116</v>
      </c>
      <c r="Z663" s="50">
        <f>ROUND(IF(AQ663="5",BJ663,0),2)</f>
        <v>0</v>
      </c>
      <c r="AB663" s="50">
        <f>ROUND(IF(AQ663="1",BH663,0),2)</f>
        <v>0</v>
      </c>
      <c r="AC663" s="50">
        <f>ROUND(IF(AQ663="1",BI663,0),2)</f>
        <v>0</v>
      </c>
      <c r="AD663" s="50">
        <f>ROUND(IF(AQ663="7",BH663,0),2)</f>
        <v>0</v>
      </c>
      <c r="AE663" s="50">
        <f>ROUND(IF(AQ663="7",BI663,0),2)</f>
        <v>0</v>
      </c>
      <c r="AF663" s="50">
        <f>ROUND(IF(AQ663="2",BH663,0),2)</f>
        <v>0</v>
      </c>
      <c r="AG663" s="50">
        <f>ROUND(IF(AQ663="2",BI663,0),2)</f>
        <v>0</v>
      </c>
      <c r="AH663" s="50">
        <f>ROUND(IF(AQ663="0",BJ663,0),2)</f>
        <v>0</v>
      </c>
      <c r="AI663" s="32" t="s">
        <v>4</v>
      </c>
      <c r="AJ663" s="50">
        <f>IF(AN663=0,J663,0)</f>
        <v>0</v>
      </c>
      <c r="AK663" s="50">
        <f>IF(AN663=12,J663,0)</f>
        <v>0</v>
      </c>
      <c r="AL663" s="50">
        <f>IF(AN663=21,J663,0)</f>
        <v>0</v>
      </c>
      <c r="AN663" s="50">
        <v>21</v>
      </c>
      <c r="AO663" s="50">
        <f>G663*0.727022258</f>
        <v>0</v>
      </c>
      <c r="AP663" s="50">
        <f>G663*(1-0.727022258)</f>
        <v>0</v>
      </c>
      <c r="AQ663" s="52" t="s">
        <v>158</v>
      </c>
      <c r="AV663" s="50">
        <f>ROUND(AW663+AX663,2)</f>
        <v>0</v>
      </c>
      <c r="AW663" s="50">
        <f>ROUND(F663*AO663,2)</f>
        <v>0</v>
      </c>
      <c r="AX663" s="50">
        <f>ROUND(F663*AP663,2)</f>
        <v>0</v>
      </c>
      <c r="AY663" s="52" t="s">
        <v>1039</v>
      </c>
      <c r="AZ663" s="52" t="s">
        <v>985</v>
      </c>
      <c r="BA663" s="32" t="s">
        <v>119</v>
      </c>
      <c r="BC663" s="50">
        <f>AW663+AX663</f>
        <v>0</v>
      </c>
      <c r="BD663" s="50">
        <f>G663/(100-BE663)*100</f>
        <v>0</v>
      </c>
      <c r="BE663" s="50">
        <v>0</v>
      </c>
      <c r="BF663" s="50">
        <f>663</f>
        <v>663</v>
      </c>
      <c r="BH663" s="50">
        <f>F663*AO663</f>
        <v>0</v>
      </c>
      <c r="BI663" s="50">
        <f>F663*AP663</f>
        <v>0</v>
      </c>
      <c r="BJ663" s="50">
        <f>F663*G663</f>
        <v>0</v>
      </c>
      <c r="BK663" s="50"/>
      <c r="BL663" s="50">
        <v>736</v>
      </c>
      <c r="BW663" s="50">
        <v>21</v>
      </c>
      <c r="BX663" s="3" t="s">
        <v>1042</v>
      </c>
    </row>
    <row r="664" spans="1:76" ht="13.5" customHeight="1" x14ac:dyDescent="0.3">
      <c r="A664" s="53"/>
      <c r="B664" s="57" t="s">
        <v>198</v>
      </c>
      <c r="C664" s="150" t="s">
        <v>1053</v>
      </c>
      <c r="D664" s="151"/>
      <c r="E664" s="151"/>
      <c r="F664" s="151"/>
      <c r="G664" s="151"/>
      <c r="H664" s="151"/>
      <c r="I664" s="151"/>
      <c r="J664" s="151"/>
      <c r="K664" s="152"/>
    </row>
    <row r="665" spans="1:76" ht="14.4" x14ac:dyDescent="0.3">
      <c r="A665" s="53"/>
      <c r="C665" s="54" t="s">
        <v>1054</v>
      </c>
      <c r="D665" s="54" t="s">
        <v>4</v>
      </c>
      <c r="F665" s="55">
        <v>42.7</v>
      </c>
      <c r="K665" s="56"/>
    </row>
    <row r="666" spans="1:76" ht="14.4" x14ac:dyDescent="0.3">
      <c r="A666" s="1" t="s">
        <v>1055</v>
      </c>
      <c r="B666" s="2" t="s">
        <v>1056</v>
      </c>
      <c r="C666" s="75" t="s">
        <v>1042</v>
      </c>
      <c r="D666" s="70"/>
      <c r="E666" s="2" t="s">
        <v>216</v>
      </c>
      <c r="F666" s="50">
        <v>12.33</v>
      </c>
      <c r="G666" s="50">
        <v>0</v>
      </c>
      <c r="H666" s="50">
        <f>ROUND(F666*AO666,2)</f>
        <v>0</v>
      </c>
      <c r="I666" s="50">
        <f>ROUND(F666*AP666,2)</f>
        <v>0</v>
      </c>
      <c r="J666" s="50">
        <f>ROUND(F666*G666,2)</f>
        <v>0</v>
      </c>
      <c r="K666" s="51" t="s">
        <v>116</v>
      </c>
      <c r="Z666" s="50">
        <f>ROUND(IF(AQ666="5",BJ666,0),2)</f>
        <v>0</v>
      </c>
      <c r="AB666" s="50">
        <f>ROUND(IF(AQ666="1",BH666,0),2)</f>
        <v>0</v>
      </c>
      <c r="AC666" s="50">
        <f>ROUND(IF(AQ666="1",BI666,0),2)</f>
        <v>0</v>
      </c>
      <c r="AD666" s="50">
        <f>ROUND(IF(AQ666="7",BH666,0),2)</f>
        <v>0</v>
      </c>
      <c r="AE666" s="50">
        <f>ROUND(IF(AQ666="7",BI666,0),2)</f>
        <v>0</v>
      </c>
      <c r="AF666" s="50">
        <f>ROUND(IF(AQ666="2",BH666,0),2)</f>
        <v>0</v>
      </c>
      <c r="AG666" s="50">
        <f>ROUND(IF(AQ666="2",BI666,0),2)</f>
        <v>0</v>
      </c>
      <c r="AH666" s="50">
        <f>ROUND(IF(AQ666="0",BJ666,0),2)</f>
        <v>0</v>
      </c>
      <c r="AI666" s="32" t="s">
        <v>4</v>
      </c>
      <c r="AJ666" s="50">
        <f>IF(AN666=0,J666,0)</f>
        <v>0</v>
      </c>
      <c r="AK666" s="50">
        <f>IF(AN666=12,J666,0)</f>
        <v>0</v>
      </c>
      <c r="AL666" s="50">
        <f>IF(AN666=21,J666,0)</f>
        <v>0</v>
      </c>
      <c r="AN666" s="50">
        <v>21</v>
      </c>
      <c r="AO666" s="50">
        <f>G666*0.741603461</f>
        <v>0</v>
      </c>
      <c r="AP666" s="50">
        <f>G666*(1-0.741603461)</f>
        <v>0</v>
      </c>
      <c r="AQ666" s="52" t="s">
        <v>158</v>
      </c>
      <c r="AV666" s="50">
        <f>ROUND(AW666+AX666,2)</f>
        <v>0</v>
      </c>
      <c r="AW666" s="50">
        <f>ROUND(F666*AO666,2)</f>
        <v>0</v>
      </c>
      <c r="AX666" s="50">
        <f>ROUND(F666*AP666,2)</f>
        <v>0</v>
      </c>
      <c r="AY666" s="52" t="s">
        <v>1039</v>
      </c>
      <c r="AZ666" s="52" t="s">
        <v>985</v>
      </c>
      <c r="BA666" s="32" t="s">
        <v>119</v>
      </c>
      <c r="BC666" s="50">
        <f>AW666+AX666</f>
        <v>0</v>
      </c>
      <c r="BD666" s="50">
        <f>G666/(100-BE666)*100</f>
        <v>0</v>
      </c>
      <c r="BE666" s="50">
        <v>0</v>
      </c>
      <c r="BF666" s="50">
        <f>666</f>
        <v>666</v>
      </c>
      <c r="BH666" s="50">
        <f>F666*AO666</f>
        <v>0</v>
      </c>
      <c r="BI666" s="50">
        <f>F666*AP666</f>
        <v>0</v>
      </c>
      <c r="BJ666" s="50">
        <f>F666*G666</f>
        <v>0</v>
      </c>
      <c r="BK666" s="50"/>
      <c r="BL666" s="50">
        <v>736</v>
      </c>
      <c r="BW666" s="50">
        <v>21</v>
      </c>
      <c r="BX666" s="3" t="s">
        <v>1042</v>
      </c>
    </row>
    <row r="667" spans="1:76" ht="13.5" customHeight="1" x14ac:dyDescent="0.3">
      <c r="A667" s="53"/>
      <c r="B667" s="57" t="s">
        <v>198</v>
      </c>
      <c r="C667" s="150" t="s">
        <v>1057</v>
      </c>
      <c r="D667" s="151"/>
      <c r="E667" s="151"/>
      <c r="F667" s="151"/>
      <c r="G667" s="151"/>
      <c r="H667" s="151"/>
      <c r="I667" s="151"/>
      <c r="J667" s="151"/>
      <c r="K667" s="152"/>
    </row>
    <row r="668" spans="1:76" ht="14.4" x14ac:dyDescent="0.3">
      <c r="A668" s="53"/>
      <c r="C668" s="54" t="s">
        <v>1058</v>
      </c>
      <c r="D668" s="54" t="s">
        <v>4</v>
      </c>
      <c r="F668" s="55">
        <v>2.38</v>
      </c>
      <c r="K668" s="56"/>
    </row>
    <row r="669" spans="1:76" ht="14.4" x14ac:dyDescent="0.3">
      <c r="A669" s="53"/>
      <c r="C669" s="54" t="s">
        <v>1059</v>
      </c>
      <c r="D669" s="54" t="s">
        <v>4</v>
      </c>
      <c r="F669" s="55">
        <v>1.89</v>
      </c>
      <c r="K669" s="56"/>
    </row>
    <row r="670" spans="1:76" ht="14.4" x14ac:dyDescent="0.3">
      <c r="A670" s="53"/>
      <c r="C670" s="54" t="s">
        <v>1060</v>
      </c>
      <c r="D670" s="54" t="s">
        <v>4</v>
      </c>
      <c r="F670" s="55">
        <v>4.0999999999999996</v>
      </c>
      <c r="K670" s="56"/>
    </row>
    <row r="671" spans="1:76" ht="14.4" x14ac:dyDescent="0.3">
      <c r="A671" s="53"/>
      <c r="C671" s="54" t="s">
        <v>1061</v>
      </c>
      <c r="D671" s="54" t="s">
        <v>4</v>
      </c>
      <c r="F671" s="55">
        <v>2.4</v>
      </c>
      <c r="K671" s="56"/>
    </row>
    <row r="672" spans="1:76" ht="14.4" x14ac:dyDescent="0.3">
      <c r="A672" s="53"/>
      <c r="C672" s="54" t="s">
        <v>1062</v>
      </c>
      <c r="D672" s="54" t="s">
        <v>4</v>
      </c>
      <c r="F672" s="55">
        <v>1.56</v>
      </c>
      <c r="K672" s="56"/>
    </row>
    <row r="673" spans="1:76" ht="14.4" x14ac:dyDescent="0.3">
      <c r="A673" s="1" t="s">
        <v>1063</v>
      </c>
      <c r="B673" s="2" t="s">
        <v>1064</v>
      </c>
      <c r="C673" s="75" t="s">
        <v>1065</v>
      </c>
      <c r="D673" s="70"/>
      <c r="E673" s="2" t="s">
        <v>278</v>
      </c>
      <c r="F673" s="50">
        <v>1</v>
      </c>
      <c r="G673" s="50">
        <v>0</v>
      </c>
      <c r="H673" s="50">
        <f>ROUND(F673*AO673,2)</f>
        <v>0</v>
      </c>
      <c r="I673" s="50">
        <f>ROUND(F673*AP673,2)</f>
        <v>0</v>
      </c>
      <c r="J673" s="50">
        <f>ROUND(F673*G673,2)</f>
        <v>0</v>
      </c>
      <c r="K673" s="51" t="s">
        <v>116</v>
      </c>
      <c r="Z673" s="50">
        <f>ROUND(IF(AQ673="5",BJ673,0),2)</f>
        <v>0</v>
      </c>
      <c r="AB673" s="50">
        <f>ROUND(IF(AQ673="1",BH673,0),2)</f>
        <v>0</v>
      </c>
      <c r="AC673" s="50">
        <f>ROUND(IF(AQ673="1",BI673,0),2)</f>
        <v>0</v>
      </c>
      <c r="AD673" s="50">
        <f>ROUND(IF(AQ673="7",BH673,0),2)</f>
        <v>0</v>
      </c>
      <c r="AE673" s="50">
        <f>ROUND(IF(AQ673="7",BI673,0),2)</f>
        <v>0</v>
      </c>
      <c r="AF673" s="50">
        <f>ROUND(IF(AQ673="2",BH673,0),2)</f>
        <v>0</v>
      </c>
      <c r="AG673" s="50">
        <f>ROUND(IF(AQ673="2",BI673,0),2)</f>
        <v>0</v>
      </c>
      <c r="AH673" s="50">
        <f>ROUND(IF(AQ673="0",BJ673,0),2)</f>
        <v>0</v>
      </c>
      <c r="AI673" s="32" t="s">
        <v>4</v>
      </c>
      <c r="AJ673" s="50">
        <f>IF(AN673=0,J673,0)</f>
        <v>0</v>
      </c>
      <c r="AK673" s="50">
        <f>IF(AN673=12,J673,0)</f>
        <v>0</v>
      </c>
      <c r="AL673" s="50">
        <f>IF(AN673=21,J673,0)</f>
        <v>0</v>
      </c>
      <c r="AN673" s="50">
        <v>21</v>
      </c>
      <c r="AO673" s="50">
        <f>G673*0.957446591</f>
        <v>0</v>
      </c>
      <c r="AP673" s="50">
        <f>G673*(1-0.957446591)</f>
        <v>0</v>
      </c>
      <c r="AQ673" s="52" t="s">
        <v>158</v>
      </c>
      <c r="AV673" s="50">
        <f>ROUND(AW673+AX673,2)</f>
        <v>0</v>
      </c>
      <c r="AW673" s="50">
        <f>ROUND(F673*AO673,2)</f>
        <v>0</v>
      </c>
      <c r="AX673" s="50">
        <f>ROUND(F673*AP673,2)</f>
        <v>0</v>
      </c>
      <c r="AY673" s="52" t="s">
        <v>1039</v>
      </c>
      <c r="AZ673" s="52" t="s">
        <v>985</v>
      </c>
      <c r="BA673" s="32" t="s">
        <v>119</v>
      </c>
      <c r="BC673" s="50">
        <f>AW673+AX673</f>
        <v>0</v>
      </c>
      <c r="BD673" s="50">
        <f>G673/(100-BE673)*100</f>
        <v>0</v>
      </c>
      <c r="BE673" s="50">
        <v>0</v>
      </c>
      <c r="BF673" s="50">
        <f>673</f>
        <v>673</v>
      </c>
      <c r="BH673" s="50">
        <f>F673*AO673</f>
        <v>0</v>
      </c>
      <c r="BI673" s="50">
        <f>F673*AP673</f>
        <v>0</v>
      </c>
      <c r="BJ673" s="50">
        <f>F673*G673</f>
        <v>0</v>
      </c>
      <c r="BK673" s="50"/>
      <c r="BL673" s="50">
        <v>736</v>
      </c>
      <c r="BW673" s="50">
        <v>21</v>
      </c>
      <c r="BX673" s="3" t="s">
        <v>1065</v>
      </c>
    </row>
    <row r="674" spans="1:76" ht="14.4" x14ac:dyDescent="0.3">
      <c r="A674" s="53"/>
      <c r="C674" s="54" t="s">
        <v>112</v>
      </c>
      <c r="D674" s="54" t="s">
        <v>4</v>
      </c>
      <c r="F674" s="55">
        <v>1</v>
      </c>
      <c r="K674" s="56"/>
    </row>
    <row r="675" spans="1:76" ht="14.4" x14ac:dyDescent="0.3">
      <c r="A675" s="1" t="s">
        <v>1066</v>
      </c>
      <c r="B675" s="2" t="s">
        <v>1067</v>
      </c>
      <c r="C675" s="75" t="s">
        <v>1068</v>
      </c>
      <c r="D675" s="70"/>
      <c r="E675" s="2" t="s">
        <v>278</v>
      </c>
      <c r="F675" s="50">
        <v>1</v>
      </c>
      <c r="G675" s="50">
        <v>0</v>
      </c>
      <c r="H675" s="50">
        <f>ROUND(F675*AO675,2)</f>
        <v>0</v>
      </c>
      <c r="I675" s="50">
        <f>ROUND(F675*AP675,2)</f>
        <v>0</v>
      </c>
      <c r="J675" s="50">
        <f>ROUND(F675*G675,2)</f>
        <v>0</v>
      </c>
      <c r="K675" s="51" t="s">
        <v>116</v>
      </c>
      <c r="Z675" s="50">
        <f>ROUND(IF(AQ675="5",BJ675,0),2)</f>
        <v>0</v>
      </c>
      <c r="AB675" s="50">
        <f>ROUND(IF(AQ675="1",BH675,0),2)</f>
        <v>0</v>
      </c>
      <c r="AC675" s="50">
        <f>ROUND(IF(AQ675="1",BI675,0),2)</f>
        <v>0</v>
      </c>
      <c r="AD675" s="50">
        <f>ROUND(IF(AQ675="7",BH675,0),2)</f>
        <v>0</v>
      </c>
      <c r="AE675" s="50">
        <f>ROUND(IF(AQ675="7",BI675,0),2)</f>
        <v>0</v>
      </c>
      <c r="AF675" s="50">
        <f>ROUND(IF(AQ675="2",BH675,0),2)</f>
        <v>0</v>
      </c>
      <c r="AG675" s="50">
        <f>ROUND(IF(AQ675="2",BI675,0),2)</f>
        <v>0</v>
      </c>
      <c r="AH675" s="50">
        <f>ROUND(IF(AQ675="0",BJ675,0),2)</f>
        <v>0</v>
      </c>
      <c r="AI675" s="32" t="s">
        <v>4</v>
      </c>
      <c r="AJ675" s="50">
        <f>IF(AN675=0,J675,0)</f>
        <v>0</v>
      </c>
      <c r="AK675" s="50">
        <f>IF(AN675=12,J675,0)</f>
        <v>0</v>
      </c>
      <c r="AL675" s="50">
        <f>IF(AN675=21,J675,0)</f>
        <v>0</v>
      </c>
      <c r="AN675" s="50">
        <v>21</v>
      </c>
      <c r="AO675" s="50">
        <f>G675*0.928299543</f>
        <v>0</v>
      </c>
      <c r="AP675" s="50">
        <f>G675*(1-0.928299543)</f>
        <v>0</v>
      </c>
      <c r="AQ675" s="52" t="s">
        <v>158</v>
      </c>
      <c r="AV675" s="50">
        <f>ROUND(AW675+AX675,2)</f>
        <v>0</v>
      </c>
      <c r="AW675" s="50">
        <f>ROUND(F675*AO675,2)</f>
        <v>0</v>
      </c>
      <c r="AX675" s="50">
        <f>ROUND(F675*AP675,2)</f>
        <v>0</v>
      </c>
      <c r="AY675" s="52" t="s">
        <v>1039</v>
      </c>
      <c r="AZ675" s="52" t="s">
        <v>985</v>
      </c>
      <c r="BA675" s="32" t="s">
        <v>119</v>
      </c>
      <c r="BC675" s="50">
        <f>AW675+AX675</f>
        <v>0</v>
      </c>
      <c r="BD675" s="50">
        <f>G675/(100-BE675)*100</f>
        <v>0</v>
      </c>
      <c r="BE675" s="50">
        <v>0</v>
      </c>
      <c r="BF675" s="50">
        <f>675</f>
        <v>675</v>
      </c>
      <c r="BH675" s="50">
        <f>F675*AO675</f>
        <v>0</v>
      </c>
      <c r="BI675" s="50">
        <f>F675*AP675</f>
        <v>0</v>
      </c>
      <c r="BJ675" s="50">
        <f>F675*G675</f>
        <v>0</v>
      </c>
      <c r="BK675" s="50"/>
      <c r="BL675" s="50">
        <v>736</v>
      </c>
      <c r="BW675" s="50">
        <v>21</v>
      </c>
      <c r="BX675" s="3" t="s">
        <v>1068</v>
      </c>
    </row>
    <row r="676" spans="1:76" ht="14.4" x14ac:dyDescent="0.3">
      <c r="A676" s="53"/>
      <c r="C676" s="54" t="s">
        <v>112</v>
      </c>
      <c r="D676" s="54" t="s">
        <v>4</v>
      </c>
      <c r="F676" s="55">
        <v>1</v>
      </c>
      <c r="K676" s="56"/>
    </row>
    <row r="677" spans="1:76" ht="14.4" x14ac:dyDescent="0.3">
      <c r="A677" s="1" t="s">
        <v>1069</v>
      </c>
      <c r="B677" s="2" t="s">
        <v>1070</v>
      </c>
      <c r="C677" s="75" t="s">
        <v>1071</v>
      </c>
      <c r="D677" s="70"/>
      <c r="E677" s="2" t="s">
        <v>278</v>
      </c>
      <c r="F677" s="50">
        <v>18</v>
      </c>
      <c r="G677" s="50">
        <v>0</v>
      </c>
      <c r="H677" s="50">
        <f>ROUND(F677*AO677,2)</f>
        <v>0</v>
      </c>
      <c r="I677" s="50">
        <f>ROUND(F677*AP677,2)</f>
        <v>0</v>
      </c>
      <c r="J677" s="50">
        <f>ROUND(F677*G677,2)</f>
        <v>0</v>
      </c>
      <c r="K677" s="51" t="s">
        <v>116</v>
      </c>
      <c r="Z677" s="50">
        <f>ROUND(IF(AQ677="5",BJ677,0),2)</f>
        <v>0</v>
      </c>
      <c r="AB677" s="50">
        <f>ROUND(IF(AQ677="1",BH677,0),2)</f>
        <v>0</v>
      </c>
      <c r="AC677" s="50">
        <f>ROUND(IF(AQ677="1",BI677,0),2)</f>
        <v>0</v>
      </c>
      <c r="AD677" s="50">
        <f>ROUND(IF(AQ677="7",BH677,0),2)</f>
        <v>0</v>
      </c>
      <c r="AE677" s="50">
        <f>ROUND(IF(AQ677="7",BI677,0),2)</f>
        <v>0</v>
      </c>
      <c r="AF677" s="50">
        <f>ROUND(IF(AQ677="2",BH677,0),2)</f>
        <v>0</v>
      </c>
      <c r="AG677" s="50">
        <f>ROUND(IF(AQ677="2",BI677,0),2)</f>
        <v>0</v>
      </c>
      <c r="AH677" s="50">
        <f>ROUND(IF(AQ677="0",BJ677,0),2)</f>
        <v>0</v>
      </c>
      <c r="AI677" s="32" t="s">
        <v>4</v>
      </c>
      <c r="AJ677" s="50">
        <f>IF(AN677=0,J677,0)</f>
        <v>0</v>
      </c>
      <c r="AK677" s="50">
        <f>IF(AN677=12,J677,0)</f>
        <v>0</v>
      </c>
      <c r="AL677" s="50">
        <f>IF(AN677=21,J677,0)</f>
        <v>0</v>
      </c>
      <c r="AN677" s="50">
        <v>21</v>
      </c>
      <c r="AO677" s="50">
        <f>G677*0.673028571</f>
        <v>0</v>
      </c>
      <c r="AP677" s="50">
        <f>G677*(1-0.673028571)</f>
        <v>0</v>
      </c>
      <c r="AQ677" s="52" t="s">
        <v>158</v>
      </c>
      <c r="AV677" s="50">
        <f>ROUND(AW677+AX677,2)</f>
        <v>0</v>
      </c>
      <c r="AW677" s="50">
        <f>ROUND(F677*AO677,2)</f>
        <v>0</v>
      </c>
      <c r="AX677" s="50">
        <f>ROUND(F677*AP677,2)</f>
        <v>0</v>
      </c>
      <c r="AY677" s="52" t="s">
        <v>1039</v>
      </c>
      <c r="AZ677" s="52" t="s">
        <v>985</v>
      </c>
      <c r="BA677" s="32" t="s">
        <v>119</v>
      </c>
      <c r="BC677" s="50">
        <f>AW677+AX677</f>
        <v>0</v>
      </c>
      <c r="BD677" s="50">
        <f>G677/(100-BE677)*100</f>
        <v>0</v>
      </c>
      <c r="BE677" s="50">
        <v>0</v>
      </c>
      <c r="BF677" s="50">
        <f>677</f>
        <v>677</v>
      </c>
      <c r="BH677" s="50">
        <f>F677*AO677</f>
        <v>0</v>
      </c>
      <c r="BI677" s="50">
        <f>F677*AP677</f>
        <v>0</v>
      </c>
      <c r="BJ677" s="50">
        <f>F677*G677</f>
        <v>0</v>
      </c>
      <c r="BK677" s="50"/>
      <c r="BL677" s="50">
        <v>736</v>
      </c>
      <c r="BW677" s="50">
        <v>21</v>
      </c>
      <c r="BX677" s="3" t="s">
        <v>1071</v>
      </c>
    </row>
    <row r="678" spans="1:76" ht="14.4" x14ac:dyDescent="0.3">
      <c r="A678" s="53"/>
      <c r="C678" s="54" t="s">
        <v>211</v>
      </c>
      <c r="D678" s="54" t="s">
        <v>4</v>
      </c>
      <c r="F678" s="55">
        <v>18</v>
      </c>
      <c r="K678" s="56"/>
    </row>
    <row r="679" spans="1:76" ht="14.4" x14ac:dyDescent="0.3">
      <c r="A679" s="1" t="s">
        <v>1072</v>
      </c>
      <c r="B679" s="2" t="s">
        <v>1073</v>
      </c>
      <c r="C679" s="75" t="s">
        <v>1074</v>
      </c>
      <c r="D679" s="70"/>
      <c r="E679" s="2" t="s">
        <v>278</v>
      </c>
      <c r="F679" s="50">
        <v>2</v>
      </c>
      <c r="G679" s="50">
        <v>0</v>
      </c>
      <c r="H679" s="50">
        <f>ROUND(F679*AO679,2)</f>
        <v>0</v>
      </c>
      <c r="I679" s="50">
        <f>ROUND(F679*AP679,2)</f>
        <v>0</v>
      </c>
      <c r="J679" s="50">
        <f>ROUND(F679*G679,2)</f>
        <v>0</v>
      </c>
      <c r="K679" s="51" t="s">
        <v>116</v>
      </c>
      <c r="Z679" s="50">
        <f>ROUND(IF(AQ679="5",BJ679,0),2)</f>
        <v>0</v>
      </c>
      <c r="AB679" s="50">
        <f>ROUND(IF(AQ679="1",BH679,0),2)</f>
        <v>0</v>
      </c>
      <c r="AC679" s="50">
        <f>ROUND(IF(AQ679="1",BI679,0),2)</f>
        <v>0</v>
      </c>
      <c r="AD679" s="50">
        <f>ROUND(IF(AQ679="7",BH679,0),2)</f>
        <v>0</v>
      </c>
      <c r="AE679" s="50">
        <f>ROUND(IF(AQ679="7",BI679,0),2)</f>
        <v>0</v>
      </c>
      <c r="AF679" s="50">
        <f>ROUND(IF(AQ679="2",BH679,0),2)</f>
        <v>0</v>
      </c>
      <c r="AG679" s="50">
        <f>ROUND(IF(AQ679="2",BI679,0),2)</f>
        <v>0</v>
      </c>
      <c r="AH679" s="50">
        <f>ROUND(IF(AQ679="0",BJ679,0),2)</f>
        <v>0</v>
      </c>
      <c r="AI679" s="32" t="s">
        <v>4</v>
      </c>
      <c r="AJ679" s="50">
        <f>IF(AN679=0,J679,0)</f>
        <v>0</v>
      </c>
      <c r="AK679" s="50">
        <f>IF(AN679=12,J679,0)</f>
        <v>0</v>
      </c>
      <c r="AL679" s="50">
        <f>IF(AN679=21,J679,0)</f>
        <v>0</v>
      </c>
      <c r="AN679" s="50">
        <v>21</v>
      </c>
      <c r="AO679" s="50">
        <f>G679*0.902708674</f>
        <v>0</v>
      </c>
      <c r="AP679" s="50">
        <f>G679*(1-0.902708674)</f>
        <v>0</v>
      </c>
      <c r="AQ679" s="52" t="s">
        <v>158</v>
      </c>
      <c r="AV679" s="50">
        <f>ROUND(AW679+AX679,2)</f>
        <v>0</v>
      </c>
      <c r="AW679" s="50">
        <f>ROUND(F679*AO679,2)</f>
        <v>0</v>
      </c>
      <c r="AX679" s="50">
        <f>ROUND(F679*AP679,2)</f>
        <v>0</v>
      </c>
      <c r="AY679" s="52" t="s">
        <v>1039</v>
      </c>
      <c r="AZ679" s="52" t="s">
        <v>985</v>
      </c>
      <c r="BA679" s="32" t="s">
        <v>119</v>
      </c>
      <c r="BC679" s="50">
        <f>AW679+AX679</f>
        <v>0</v>
      </c>
      <c r="BD679" s="50">
        <f>G679/(100-BE679)*100</f>
        <v>0</v>
      </c>
      <c r="BE679" s="50">
        <v>0</v>
      </c>
      <c r="BF679" s="50">
        <f>679</f>
        <v>679</v>
      </c>
      <c r="BH679" s="50">
        <f>F679*AO679</f>
        <v>0</v>
      </c>
      <c r="BI679" s="50">
        <f>F679*AP679</f>
        <v>0</v>
      </c>
      <c r="BJ679" s="50">
        <f>F679*G679</f>
        <v>0</v>
      </c>
      <c r="BK679" s="50"/>
      <c r="BL679" s="50">
        <v>736</v>
      </c>
      <c r="BW679" s="50">
        <v>21</v>
      </c>
      <c r="BX679" s="3" t="s">
        <v>1074</v>
      </c>
    </row>
    <row r="680" spans="1:76" ht="14.4" x14ac:dyDescent="0.3">
      <c r="A680" s="53"/>
      <c r="C680" s="54" t="s">
        <v>132</v>
      </c>
      <c r="D680" s="54" t="s">
        <v>4</v>
      </c>
      <c r="F680" s="55">
        <v>2</v>
      </c>
      <c r="K680" s="56"/>
    </row>
    <row r="681" spans="1:76" ht="14.4" x14ac:dyDescent="0.3">
      <c r="A681" s="1" t="s">
        <v>1075</v>
      </c>
      <c r="B681" s="2" t="s">
        <v>1076</v>
      </c>
      <c r="C681" s="75" t="s">
        <v>1077</v>
      </c>
      <c r="D681" s="70"/>
      <c r="E681" s="2" t="s">
        <v>278</v>
      </c>
      <c r="F681" s="50">
        <v>1</v>
      </c>
      <c r="G681" s="50">
        <v>0</v>
      </c>
      <c r="H681" s="50">
        <f>ROUND(F681*AO681,2)</f>
        <v>0</v>
      </c>
      <c r="I681" s="50">
        <f>ROUND(F681*AP681,2)</f>
        <v>0</v>
      </c>
      <c r="J681" s="50">
        <f>ROUND(F681*G681,2)</f>
        <v>0</v>
      </c>
      <c r="K681" s="51" t="s">
        <v>116</v>
      </c>
      <c r="Z681" s="50">
        <f>ROUND(IF(AQ681="5",BJ681,0),2)</f>
        <v>0</v>
      </c>
      <c r="AB681" s="50">
        <f>ROUND(IF(AQ681="1",BH681,0),2)</f>
        <v>0</v>
      </c>
      <c r="AC681" s="50">
        <f>ROUND(IF(AQ681="1",BI681,0),2)</f>
        <v>0</v>
      </c>
      <c r="AD681" s="50">
        <f>ROUND(IF(AQ681="7",BH681,0),2)</f>
        <v>0</v>
      </c>
      <c r="AE681" s="50">
        <f>ROUND(IF(AQ681="7",BI681,0),2)</f>
        <v>0</v>
      </c>
      <c r="AF681" s="50">
        <f>ROUND(IF(AQ681="2",BH681,0),2)</f>
        <v>0</v>
      </c>
      <c r="AG681" s="50">
        <f>ROUND(IF(AQ681="2",BI681,0),2)</f>
        <v>0</v>
      </c>
      <c r="AH681" s="50">
        <f>ROUND(IF(AQ681="0",BJ681,0),2)</f>
        <v>0</v>
      </c>
      <c r="AI681" s="32" t="s">
        <v>4</v>
      </c>
      <c r="AJ681" s="50">
        <f>IF(AN681=0,J681,0)</f>
        <v>0</v>
      </c>
      <c r="AK681" s="50">
        <f>IF(AN681=12,J681,0)</f>
        <v>0</v>
      </c>
      <c r="AL681" s="50">
        <f>IF(AN681=21,J681,0)</f>
        <v>0</v>
      </c>
      <c r="AN681" s="50">
        <v>21</v>
      </c>
      <c r="AO681" s="50">
        <f>G681*0.964718404</f>
        <v>0</v>
      </c>
      <c r="AP681" s="50">
        <f>G681*(1-0.964718404)</f>
        <v>0</v>
      </c>
      <c r="AQ681" s="52" t="s">
        <v>158</v>
      </c>
      <c r="AV681" s="50">
        <f>ROUND(AW681+AX681,2)</f>
        <v>0</v>
      </c>
      <c r="AW681" s="50">
        <f>ROUND(F681*AO681,2)</f>
        <v>0</v>
      </c>
      <c r="AX681" s="50">
        <f>ROUND(F681*AP681,2)</f>
        <v>0</v>
      </c>
      <c r="AY681" s="52" t="s">
        <v>1039</v>
      </c>
      <c r="AZ681" s="52" t="s">
        <v>985</v>
      </c>
      <c r="BA681" s="32" t="s">
        <v>119</v>
      </c>
      <c r="BC681" s="50">
        <f>AW681+AX681</f>
        <v>0</v>
      </c>
      <c r="BD681" s="50">
        <f>G681/(100-BE681)*100</f>
        <v>0</v>
      </c>
      <c r="BE681" s="50">
        <v>0</v>
      </c>
      <c r="BF681" s="50">
        <f>681</f>
        <v>681</v>
      </c>
      <c r="BH681" s="50">
        <f>F681*AO681</f>
        <v>0</v>
      </c>
      <c r="BI681" s="50">
        <f>F681*AP681</f>
        <v>0</v>
      </c>
      <c r="BJ681" s="50">
        <f>F681*G681</f>
        <v>0</v>
      </c>
      <c r="BK681" s="50"/>
      <c r="BL681" s="50">
        <v>736</v>
      </c>
      <c r="BW681" s="50">
        <v>21</v>
      </c>
      <c r="BX681" s="3" t="s">
        <v>1077</v>
      </c>
    </row>
    <row r="682" spans="1:76" ht="14.4" x14ac:dyDescent="0.3">
      <c r="A682" s="53"/>
      <c r="C682" s="54" t="s">
        <v>112</v>
      </c>
      <c r="D682" s="54" t="s">
        <v>4</v>
      </c>
      <c r="F682" s="55">
        <v>1</v>
      </c>
      <c r="K682" s="56"/>
    </row>
    <row r="683" spans="1:76" ht="14.4" x14ac:dyDescent="0.3">
      <c r="A683" s="1" t="s">
        <v>1078</v>
      </c>
      <c r="B683" s="2" t="s">
        <v>1079</v>
      </c>
      <c r="C683" s="75" t="s">
        <v>1080</v>
      </c>
      <c r="D683" s="70"/>
      <c r="E683" s="2" t="s">
        <v>278</v>
      </c>
      <c r="F683" s="50">
        <v>1</v>
      </c>
      <c r="G683" s="50">
        <v>0</v>
      </c>
      <c r="H683" s="50">
        <f>ROUND(F683*AO683,2)</f>
        <v>0</v>
      </c>
      <c r="I683" s="50">
        <f>ROUND(F683*AP683,2)</f>
        <v>0</v>
      </c>
      <c r="J683" s="50">
        <f>ROUND(F683*G683,2)</f>
        <v>0</v>
      </c>
      <c r="K683" s="51" t="s">
        <v>116</v>
      </c>
      <c r="Z683" s="50">
        <f>ROUND(IF(AQ683="5",BJ683,0),2)</f>
        <v>0</v>
      </c>
      <c r="AB683" s="50">
        <f>ROUND(IF(AQ683="1",BH683,0),2)</f>
        <v>0</v>
      </c>
      <c r="AC683" s="50">
        <f>ROUND(IF(AQ683="1",BI683,0),2)</f>
        <v>0</v>
      </c>
      <c r="AD683" s="50">
        <f>ROUND(IF(AQ683="7",BH683,0),2)</f>
        <v>0</v>
      </c>
      <c r="AE683" s="50">
        <f>ROUND(IF(AQ683="7",BI683,0),2)</f>
        <v>0</v>
      </c>
      <c r="AF683" s="50">
        <f>ROUND(IF(AQ683="2",BH683,0),2)</f>
        <v>0</v>
      </c>
      <c r="AG683" s="50">
        <f>ROUND(IF(AQ683="2",BI683,0),2)</f>
        <v>0</v>
      </c>
      <c r="AH683" s="50">
        <f>ROUND(IF(AQ683="0",BJ683,0),2)</f>
        <v>0</v>
      </c>
      <c r="AI683" s="32" t="s">
        <v>4</v>
      </c>
      <c r="AJ683" s="50">
        <f>IF(AN683=0,J683,0)</f>
        <v>0</v>
      </c>
      <c r="AK683" s="50">
        <f>IF(AN683=12,J683,0)</f>
        <v>0</v>
      </c>
      <c r="AL683" s="50">
        <f>IF(AN683=21,J683,0)</f>
        <v>0</v>
      </c>
      <c r="AN683" s="50">
        <v>21</v>
      </c>
      <c r="AO683" s="50">
        <f>G683*0.986098296</f>
        <v>0</v>
      </c>
      <c r="AP683" s="50">
        <f>G683*(1-0.986098296)</f>
        <v>0</v>
      </c>
      <c r="AQ683" s="52" t="s">
        <v>158</v>
      </c>
      <c r="AV683" s="50">
        <f>ROUND(AW683+AX683,2)</f>
        <v>0</v>
      </c>
      <c r="AW683" s="50">
        <f>ROUND(F683*AO683,2)</f>
        <v>0</v>
      </c>
      <c r="AX683" s="50">
        <f>ROUND(F683*AP683,2)</f>
        <v>0</v>
      </c>
      <c r="AY683" s="52" t="s">
        <v>1039</v>
      </c>
      <c r="AZ683" s="52" t="s">
        <v>985</v>
      </c>
      <c r="BA683" s="32" t="s">
        <v>119</v>
      </c>
      <c r="BC683" s="50">
        <f>AW683+AX683</f>
        <v>0</v>
      </c>
      <c r="BD683" s="50">
        <f>G683/(100-BE683)*100</f>
        <v>0</v>
      </c>
      <c r="BE683" s="50">
        <v>0</v>
      </c>
      <c r="BF683" s="50">
        <f>683</f>
        <v>683</v>
      </c>
      <c r="BH683" s="50">
        <f>F683*AO683</f>
        <v>0</v>
      </c>
      <c r="BI683" s="50">
        <f>F683*AP683</f>
        <v>0</v>
      </c>
      <c r="BJ683" s="50">
        <f>F683*G683</f>
        <v>0</v>
      </c>
      <c r="BK683" s="50"/>
      <c r="BL683" s="50">
        <v>736</v>
      </c>
      <c r="BW683" s="50">
        <v>21</v>
      </c>
      <c r="BX683" s="3" t="s">
        <v>1080</v>
      </c>
    </row>
    <row r="684" spans="1:76" ht="14.4" x14ac:dyDescent="0.3">
      <c r="A684" s="53"/>
      <c r="C684" s="54" t="s">
        <v>112</v>
      </c>
      <c r="D684" s="54" t="s">
        <v>4</v>
      </c>
      <c r="F684" s="55">
        <v>1</v>
      </c>
      <c r="K684" s="56"/>
    </row>
    <row r="685" spans="1:76" ht="14.4" x14ac:dyDescent="0.3">
      <c r="A685" s="1" t="s">
        <v>1081</v>
      </c>
      <c r="B685" s="2" t="s">
        <v>1082</v>
      </c>
      <c r="C685" s="75" t="s">
        <v>1083</v>
      </c>
      <c r="D685" s="70"/>
      <c r="E685" s="2" t="s">
        <v>173</v>
      </c>
      <c r="F685" s="50">
        <v>0.19932</v>
      </c>
      <c r="G685" s="50">
        <v>0</v>
      </c>
      <c r="H685" s="50">
        <f>ROUND(F685*AO685,2)</f>
        <v>0</v>
      </c>
      <c r="I685" s="50">
        <f>ROUND(F685*AP685,2)</f>
        <v>0</v>
      </c>
      <c r="J685" s="50">
        <f>ROUND(F685*G685,2)</f>
        <v>0</v>
      </c>
      <c r="K685" s="51" t="s">
        <v>116</v>
      </c>
      <c r="Z685" s="50">
        <f>ROUND(IF(AQ685="5",BJ685,0),2)</f>
        <v>0</v>
      </c>
      <c r="AB685" s="50">
        <f>ROUND(IF(AQ685="1",BH685,0),2)</f>
        <v>0</v>
      </c>
      <c r="AC685" s="50">
        <f>ROUND(IF(AQ685="1",BI685,0),2)</f>
        <v>0</v>
      </c>
      <c r="AD685" s="50">
        <f>ROUND(IF(AQ685="7",BH685,0),2)</f>
        <v>0</v>
      </c>
      <c r="AE685" s="50">
        <f>ROUND(IF(AQ685="7",BI685,0),2)</f>
        <v>0</v>
      </c>
      <c r="AF685" s="50">
        <f>ROUND(IF(AQ685="2",BH685,0),2)</f>
        <v>0</v>
      </c>
      <c r="AG685" s="50">
        <f>ROUND(IF(AQ685="2",BI685,0),2)</f>
        <v>0</v>
      </c>
      <c r="AH685" s="50">
        <f>ROUND(IF(AQ685="0",BJ685,0),2)</f>
        <v>0</v>
      </c>
      <c r="AI685" s="32" t="s">
        <v>4</v>
      </c>
      <c r="AJ685" s="50">
        <f>IF(AN685=0,J685,0)</f>
        <v>0</v>
      </c>
      <c r="AK685" s="50">
        <f>IF(AN685=12,J685,0)</f>
        <v>0</v>
      </c>
      <c r="AL685" s="50">
        <f>IF(AN685=21,J685,0)</f>
        <v>0</v>
      </c>
      <c r="AN685" s="50">
        <v>21</v>
      </c>
      <c r="AO685" s="50">
        <f>G685*0</f>
        <v>0</v>
      </c>
      <c r="AP685" s="50">
        <f>G685*(1-0)</f>
        <v>0</v>
      </c>
      <c r="AQ685" s="52" t="s">
        <v>147</v>
      </c>
      <c r="AV685" s="50">
        <f>ROUND(AW685+AX685,2)</f>
        <v>0</v>
      </c>
      <c r="AW685" s="50">
        <f>ROUND(F685*AO685,2)</f>
        <v>0</v>
      </c>
      <c r="AX685" s="50">
        <f>ROUND(F685*AP685,2)</f>
        <v>0</v>
      </c>
      <c r="AY685" s="52" t="s">
        <v>1039</v>
      </c>
      <c r="AZ685" s="52" t="s">
        <v>985</v>
      </c>
      <c r="BA685" s="32" t="s">
        <v>119</v>
      </c>
      <c r="BC685" s="50">
        <f>AW685+AX685</f>
        <v>0</v>
      </c>
      <c r="BD685" s="50">
        <f>G685/(100-BE685)*100</f>
        <v>0</v>
      </c>
      <c r="BE685" s="50">
        <v>0</v>
      </c>
      <c r="BF685" s="50">
        <f>685</f>
        <v>685</v>
      </c>
      <c r="BH685" s="50">
        <f>F685*AO685</f>
        <v>0</v>
      </c>
      <c r="BI685" s="50">
        <f>F685*AP685</f>
        <v>0</v>
      </c>
      <c r="BJ685" s="50">
        <f>F685*G685</f>
        <v>0</v>
      </c>
      <c r="BK685" s="50"/>
      <c r="BL685" s="50">
        <v>736</v>
      </c>
      <c r="BW685" s="50">
        <v>21</v>
      </c>
      <c r="BX685" s="3" t="s">
        <v>1083</v>
      </c>
    </row>
    <row r="686" spans="1:76" ht="14.4" x14ac:dyDescent="0.3">
      <c r="A686" s="46" t="s">
        <v>4</v>
      </c>
      <c r="B686" s="47" t="s">
        <v>1084</v>
      </c>
      <c r="C686" s="148" t="s">
        <v>1085</v>
      </c>
      <c r="D686" s="149"/>
      <c r="E686" s="48" t="s">
        <v>74</v>
      </c>
      <c r="F686" s="48" t="s">
        <v>74</v>
      </c>
      <c r="G686" s="48" t="s">
        <v>74</v>
      </c>
      <c r="H686" s="26">
        <f>SUM(H687:H712)</f>
        <v>0</v>
      </c>
      <c r="I686" s="26">
        <f>SUM(I687:I712)</f>
        <v>0</v>
      </c>
      <c r="J686" s="26">
        <f>SUM(J687:J712)</f>
        <v>0</v>
      </c>
      <c r="K686" s="49" t="s">
        <v>4</v>
      </c>
      <c r="AI686" s="32" t="s">
        <v>4</v>
      </c>
      <c r="AS686" s="26">
        <f>SUM(AJ687:AJ712)</f>
        <v>0</v>
      </c>
      <c r="AT686" s="26">
        <f>SUM(AK687:AK712)</f>
        <v>0</v>
      </c>
      <c r="AU686" s="26">
        <f>SUM(AL687:AL712)</f>
        <v>0</v>
      </c>
    </row>
    <row r="687" spans="1:76" ht="14.4" x14ac:dyDescent="0.3">
      <c r="A687" s="1" t="s">
        <v>1086</v>
      </c>
      <c r="B687" s="2" t="s">
        <v>1087</v>
      </c>
      <c r="C687" s="75" t="s">
        <v>1088</v>
      </c>
      <c r="D687" s="70"/>
      <c r="E687" s="2" t="s">
        <v>233</v>
      </c>
      <c r="F687" s="50">
        <v>326.45</v>
      </c>
      <c r="G687" s="50">
        <v>0</v>
      </c>
      <c r="H687" s="50">
        <f>ROUND(F687*AO687,2)</f>
        <v>0</v>
      </c>
      <c r="I687" s="50">
        <f>ROUND(F687*AP687,2)</f>
        <v>0</v>
      </c>
      <c r="J687" s="50">
        <f>ROUND(F687*G687,2)</f>
        <v>0</v>
      </c>
      <c r="K687" s="51" t="s">
        <v>116</v>
      </c>
      <c r="Z687" s="50">
        <f>ROUND(IF(AQ687="5",BJ687,0),2)</f>
        <v>0</v>
      </c>
      <c r="AB687" s="50">
        <f>ROUND(IF(AQ687="1",BH687,0),2)</f>
        <v>0</v>
      </c>
      <c r="AC687" s="50">
        <f>ROUND(IF(AQ687="1",BI687,0),2)</f>
        <v>0</v>
      </c>
      <c r="AD687" s="50">
        <f>ROUND(IF(AQ687="7",BH687,0),2)</f>
        <v>0</v>
      </c>
      <c r="AE687" s="50">
        <f>ROUND(IF(AQ687="7",BI687,0),2)</f>
        <v>0</v>
      </c>
      <c r="AF687" s="50">
        <f>ROUND(IF(AQ687="2",BH687,0),2)</f>
        <v>0</v>
      </c>
      <c r="AG687" s="50">
        <f>ROUND(IF(AQ687="2",BI687,0),2)</f>
        <v>0</v>
      </c>
      <c r="AH687" s="50">
        <f>ROUND(IF(AQ687="0",BJ687,0),2)</f>
        <v>0</v>
      </c>
      <c r="AI687" s="32" t="s">
        <v>4</v>
      </c>
      <c r="AJ687" s="50">
        <f>IF(AN687=0,J687,0)</f>
        <v>0</v>
      </c>
      <c r="AK687" s="50">
        <f>IF(AN687=12,J687,0)</f>
        <v>0</v>
      </c>
      <c r="AL687" s="50">
        <f>IF(AN687=21,J687,0)</f>
        <v>0</v>
      </c>
      <c r="AN687" s="50">
        <v>21</v>
      </c>
      <c r="AO687" s="50">
        <f>G687*0.033511716</f>
        <v>0</v>
      </c>
      <c r="AP687" s="50">
        <f>G687*(1-0.033511716)</f>
        <v>0</v>
      </c>
      <c r="AQ687" s="52" t="s">
        <v>158</v>
      </c>
      <c r="AV687" s="50">
        <f>ROUND(AW687+AX687,2)</f>
        <v>0</v>
      </c>
      <c r="AW687" s="50">
        <f>ROUND(F687*AO687,2)</f>
        <v>0</v>
      </c>
      <c r="AX687" s="50">
        <f>ROUND(F687*AP687,2)</f>
        <v>0</v>
      </c>
      <c r="AY687" s="52" t="s">
        <v>1089</v>
      </c>
      <c r="AZ687" s="52" t="s">
        <v>1090</v>
      </c>
      <c r="BA687" s="32" t="s">
        <v>119</v>
      </c>
      <c r="BC687" s="50">
        <f>AW687+AX687</f>
        <v>0</v>
      </c>
      <c r="BD687" s="50">
        <f>G687/(100-BE687)*100</f>
        <v>0</v>
      </c>
      <c r="BE687" s="50">
        <v>0</v>
      </c>
      <c r="BF687" s="50">
        <f>687</f>
        <v>687</v>
      </c>
      <c r="BH687" s="50">
        <f>F687*AO687</f>
        <v>0</v>
      </c>
      <c r="BI687" s="50">
        <f>F687*AP687</f>
        <v>0</v>
      </c>
      <c r="BJ687" s="50">
        <f>F687*G687</f>
        <v>0</v>
      </c>
      <c r="BK687" s="50"/>
      <c r="BL687" s="50">
        <v>762</v>
      </c>
      <c r="BW687" s="50">
        <v>21</v>
      </c>
      <c r="BX687" s="3" t="s">
        <v>1088</v>
      </c>
    </row>
    <row r="688" spans="1:76" ht="14.4" x14ac:dyDescent="0.3">
      <c r="A688" s="53"/>
      <c r="C688" s="54" t="s">
        <v>1091</v>
      </c>
      <c r="D688" s="54" t="s">
        <v>1092</v>
      </c>
      <c r="F688" s="55">
        <v>45</v>
      </c>
      <c r="K688" s="56"/>
    </row>
    <row r="689" spans="1:76" ht="14.4" x14ac:dyDescent="0.3">
      <c r="A689" s="53"/>
      <c r="C689" s="54" t="s">
        <v>1093</v>
      </c>
      <c r="D689" s="54" t="s">
        <v>1094</v>
      </c>
      <c r="F689" s="55">
        <v>78</v>
      </c>
      <c r="K689" s="56"/>
    </row>
    <row r="690" spans="1:76" ht="14.4" x14ac:dyDescent="0.3">
      <c r="A690" s="53"/>
      <c r="C690" s="54" t="s">
        <v>1095</v>
      </c>
      <c r="D690" s="54" t="s">
        <v>1096</v>
      </c>
      <c r="F690" s="55">
        <v>56.25</v>
      </c>
      <c r="K690" s="56"/>
    </row>
    <row r="691" spans="1:76" ht="14.4" x14ac:dyDescent="0.3">
      <c r="A691" s="53"/>
      <c r="C691" s="54" t="s">
        <v>1097</v>
      </c>
      <c r="D691" s="54" t="s">
        <v>1096</v>
      </c>
      <c r="F691" s="55">
        <v>147.19999999999999</v>
      </c>
      <c r="K691" s="56"/>
    </row>
    <row r="692" spans="1:76" ht="14.4" x14ac:dyDescent="0.3">
      <c r="A692" s="1" t="s">
        <v>1098</v>
      </c>
      <c r="B692" s="2" t="s">
        <v>1099</v>
      </c>
      <c r="C692" s="75" t="s">
        <v>1100</v>
      </c>
      <c r="D692" s="70"/>
      <c r="E692" s="2" t="s">
        <v>115</v>
      </c>
      <c r="F692" s="50">
        <v>6.8860000000000001</v>
      </c>
      <c r="G692" s="50">
        <v>0</v>
      </c>
      <c r="H692" s="50">
        <f>ROUND(F692*AO692,2)</f>
        <v>0</v>
      </c>
      <c r="I692" s="50">
        <f>ROUND(F692*AP692,2)</f>
        <v>0</v>
      </c>
      <c r="J692" s="50">
        <f>ROUND(F692*G692,2)</f>
        <v>0</v>
      </c>
      <c r="K692" s="51" t="s">
        <v>116</v>
      </c>
      <c r="Z692" s="50">
        <f>ROUND(IF(AQ692="5",BJ692,0),2)</f>
        <v>0</v>
      </c>
      <c r="AB692" s="50">
        <f>ROUND(IF(AQ692="1",BH692,0),2)</f>
        <v>0</v>
      </c>
      <c r="AC692" s="50">
        <f>ROUND(IF(AQ692="1",BI692,0),2)</f>
        <v>0</v>
      </c>
      <c r="AD692" s="50">
        <f>ROUND(IF(AQ692="7",BH692,0),2)</f>
        <v>0</v>
      </c>
      <c r="AE692" s="50">
        <f>ROUND(IF(AQ692="7",BI692,0),2)</f>
        <v>0</v>
      </c>
      <c r="AF692" s="50">
        <f>ROUND(IF(AQ692="2",BH692,0),2)</f>
        <v>0</v>
      </c>
      <c r="AG692" s="50">
        <f>ROUND(IF(AQ692="2",BI692,0),2)</f>
        <v>0</v>
      </c>
      <c r="AH692" s="50">
        <f>ROUND(IF(AQ692="0",BJ692,0),2)</f>
        <v>0</v>
      </c>
      <c r="AI692" s="32" t="s">
        <v>4</v>
      </c>
      <c r="AJ692" s="50">
        <f>IF(AN692=0,J692,0)</f>
        <v>0</v>
      </c>
      <c r="AK692" s="50">
        <f>IF(AN692=12,J692,0)</f>
        <v>0</v>
      </c>
      <c r="AL692" s="50">
        <f>IF(AN692=21,J692,0)</f>
        <v>0</v>
      </c>
      <c r="AN692" s="50">
        <v>21</v>
      </c>
      <c r="AO692" s="50">
        <f>G692*1</f>
        <v>0</v>
      </c>
      <c r="AP692" s="50">
        <f>G692*(1-1)</f>
        <v>0</v>
      </c>
      <c r="AQ692" s="52" t="s">
        <v>158</v>
      </c>
      <c r="AV692" s="50">
        <f>ROUND(AW692+AX692,2)</f>
        <v>0</v>
      </c>
      <c r="AW692" s="50">
        <f>ROUND(F692*AO692,2)</f>
        <v>0</v>
      </c>
      <c r="AX692" s="50">
        <f>ROUND(F692*AP692,2)</f>
        <v>0</v>
      </c>
      <c r="AY692" s="52" t="s">
        <v>1089</v>
      </c>
      <c r="AZ692" s="52" t="s">
        <v>1090</v>
      </c>
      <c r="BA692" s="32" t="s">
        <v>119</v>
      </c>
      <c r="BC692" s="50">
        <f>AW692+AX692</f>
        <v>0</v>
      </c>
      <c r="BD692" s="50">
        <f>G692/(100-BE692)*100</f>
        <v>0</v>
      </c>
      <c r="BE692" s="50">
        <v>0</v>
      </c>
      <c r="BF692" s="50">
        <f>692</f>
        <v>692</v>
      </c>
      <c r="BH692" s="50">
        <f>F692*AO692</f>
        <v>0</v>
      </c>
      <c r="BI692" s="50">
        <f>F692*AP692</f>
        <v>0</v>
      </c>
      <c r="BJ692" s="50">
        <f>F692*G692</f>
        <v>0</v>
      </c>
      <c r="BK692" s="50"/>
      <c r="BL692" s="50">
        <v>762</v>
      </c>
      <c r="BW692" s="50">
        <v>21</v>
      </c>
      <c r="BX692" s="3" t="s">
        <v>1100</v>
      </c>
    </row>
    <row r="693" spans="1:76" ht="14.4" x14ac:dyDescent="0.3">
      <c r="A693" s="53"/>
      <c r="C693" s="54" t="s">
        <v>1101</v>
      </c>
      <c r="D693" s="54" t="s">
        <v>4</v>
      </c>
      <c r="F693" s="55">
        <v>6.26</v>
      </c>
      <c r="K693" s="56"/>
    </row>
    <row r="694" spans="1:76" ht="14.4" x14ac:dyDescent="0.3">
      <c r="A694" s="53"/>
      <c r="C694" s="54" t="s">
        <v>1102</v>
      </c>
      <c r="D694" s="54" t="s">
        <v>4</v>
      </c>
      <c r="F694" s="55">
        <v>0.626</v>
      </c>
      <c r="K694" s="56"/>
    </row>
    <row r="695" spans="1:76" ht="14.4" x14ac:dyDescent="0.3">
      <c r="A695" s="1" t="s">
        <v>1103</v>
      </c>
      <c r="B695" s="2" t="s">
        <v>1104</v>
      </c>
      <c r="C695" s="75" t="s">
        <v>1105</v>
      </c>
      <c r="D695" s="70"/>
      <c r="E695" s="2" t="s">
        <v>233</v>
      </c>
      <c r="F695" s="50">
        <v>245.95</v>
      </c>
      <c r="G695" s="50">
        <v>0</v>
      </c>
      <c r="H695" s="50">
        <f>ROUND(F695*AO695,2)</f>
        <v>0</v>
      </c>
      <c r="I695" s="50">
        <f>ROUND(F695*AP695,2)</f>
        <v>0</v>
      </c>
      <c r="J695" s="50">
        <f>ROUND(F695*G695,2)</f>
        <v>0</v>
      </c>
      <c r="K695" s="51" t="s">
        <v>116</v>
      </c>
      <c r="Z695" s="50">
        <f>ROUND(IF(AQ695="5",BJ695,0),2)</f>
        <v>0</v>
      </c>
      <c r="AB695" s="50">
        <f>ROUND(IF(AQ695="1",BH695,0),2)</f>
        <v>0</v>
      </c>
      <c r="AC695" s="50">
        <f>ROUND(IF(AQ695="1",BI695,0),2)</f>
        <v>0</v>
      </c>
      <c r="AD695" s="50">
        <f>ROUND(IF(AQ695="7",BH695,0),2)</f>
        <v>0</v>
      </c>
      <c r="AE695" s="50">
        <f>ROUND(IF(AQ695="7",BI695,0),2)</f>
        <v>0</v>
      </c>
      <c r="AF695" s="50">
        <f>ROUND(IF(AQ695="2",BH695,0),2)</f>
        <v>0</v>
      </c>
      <c r="AG695" s="50">
        <f>ROUND(IF(AQ695="2",BI695,0),2)</f>
        <v>0</v>
      </c>
      <c r="AH695" s="50">
        <f>ROUND(IF(AQ695="0",BJ695,0),2)</f>
        <v>0</v>
      </c>
      <c r="AI695" s="32" t="s">
        <v>4</v>
      </c>
      <c r="AJ695" s="50">
        <f>IF(AN695=0,J695,0)</f>
        <v>0</v>
      </c>
      <c r="AK695" s="50">
        <f>IF(AN695=12,J695,0)</f>
        <v>0</v>
      </c>
      <c r="AL695" s="50">
        <f>IF(AN695=21,J695,0)</f>
        <v>0</v>
      </c>
      <c r="AN695" s="50">
        <v>21</v>
      </c>
      <c r="AO695" s="50">
        <f>G695*0.025528671</f>
        <v>0</v>
      </c>
      <c r="AP695" s="50">
        <f>G695*(1-0.025528671)</f>
        <v>0</v>
      </c>
      <c r="AQ695" s="52" t="s">
        <v>158</v>
      </c>
      <c r="AV695" s="50">
        <f>ROUND(AW695+AX695,2)</f>
        <v>0</v>
      </c>
      <c r="AW695" s="50">
        <f>ROUND(F695*AO695,2)</f>
        <v>0</v>
      </c>
      <c r="AX695" s="50">
        <f>ROUND(F695*AP695,2)</f>
        <v>0</v>
      </c>
      <c r="AY695" s="52" t="s">
        <v>1089</v>
      </c>
      <c r="AZ695" s="52" t="s">
        <v>1090</v>
      </c>
      <c r="BA695" s="32" t="s">
        <v>119</v>
      </c>
      <c r="BC695" s="50">
        <f>AW695+AX695</f>
        <v>0</v>
      </c>
      <c r="BD695" s="50">
        <f>G695/(100-BE695)*100</f>
        <v>0</v>
      </c>
      <c r="BE695" s="50">
        <v>0</v>
      </c>
      <c r="BF695" s="50">
        <f>695</f>
        <v>695</v>
      </c>
      <c r="BH695" s="50">
        <f>F695*AO695</f>
        <v>0</v>
      </c>
      <c r="BI695" s="50">
        <f>F695*AP695</f>
        <v>0</v>
      </c>
      <c r="BJ695" s="50">
        <f>F695*G695</f>
        <v>0</v>
      </c>
      <c r="BK695" s="50"/>
      <c r="BL695" s="50">
        <v>762</v>
      </c>
      <c r="BW695" s="50">
        <v>21</v>
      </c>
      <c r="BX695" s="3" t="s">
        <v>1105</v>
      </c>
    </row>
    <row r="696" spans="1:76" ht="14.4" x14ac:dyDescent="0.3">
      <c r="A696" s="53"/>
      <c r="C696" s="54" t="s">
        <v>1106</v>
      </c>
      <c r="D696" s="54" t="s">
        <v>1107</v>
      </c>
      <c r="F696" s="55">
        <v>21.6</v>
      </c>
      <c r="K696" s="56"/>
    </row>
    <row r="697" spans="1:76" ht="14.4" x14ac:dyDescent="0.3">
      <c r="A697" s="53"/>
      <c r="C697" s="54" t="s">
        <v>1108</v>
      </c>
      <c r="D697" s="54" t="s">
        <v>1109</v>
      </c>
      <c r="F697" s="55">
        <v>7.2</v>
      </c>
      <c r="K697" s="56"/>
    </row>
    <row r="698" spans="1:76" ht="14.4" x14ac:dyDescent="0.3">
      <c r="A698" s="53"/>
      <c r="C698" s="54" t="s">
        <v>1097</v>
      </c>
      <c r="D698" s="54" t="s">
        <v>1109</v>
      </c>
      <c r="F698" s="55">
        <v>147.19999999999999</v>
      </c>
      <c r="K698" s="56"/>
    </row>
    <row r="699" spans="1:76" ht="14.4" x14ac:dyDescent="0.3">
      <c r="A699" s="53"/>
      <c r="C699" s="54" t="s">
        <v>1095</v>
      </c>
      <c r="D699" s="54" t="s">
        <v>1109</v>
      </c>
      <c r="F699" s="55">
        <v>56.25</v>
      </c>
      <c r="K699" s="56"/>
    </row>
    <row r="700" spans="1:76" ht="14.4" x14ac:dyDescent="0.3">
      <c r="A700" s="53"/>
      <c r="C700" s="54" t="s">
        <v>1110</v>
      </c>
      <c r="D700" s="54" t="s">
        <v>1111</v>
      </c>
      <c r="F700" s="55">
        <v>13.7</v>
      </c>
      <c r="K700" s="56"/>
    </row>
    <row r="701" spans="1:76" ht="14.4" x14ac:dyDescent="0.3">
      <c r="A701" s="1" t="s">
        <v>1112</v>
      </c>
      <c r="B701" s="2" t="s">
        <v>1099</v>
      </c>
      <c r="C701" s="75" t="s">
        <v>1100</v>
      </c>
      <c r="D701" s="70"/>
      <c r="E701" s="2" t="s">
        <v>115</v>
      </c>
      <c r="F701" s="50">
        <v>7.6647999999999996</v>
      </c>
      <c r="G701" s="50">
        <v>0</v>
      </c>
      <c r="H701" s="50">
        <f>ROUND(F701*AO701,2)</f>
        <v>0</v>
      </c>
      <c r="I701" s="50">
        <f>ROUND(F701*AP701,2)</f>
        <v>0</v>
      </c>
      <c r="J701" s="50">
        <f>ROUND(F701*G701,2)</f>
        <v>0</v>
      </c>
      <c r="K701" s="51" t="s">
        <v>116</v>
      </c>
      <c r="Z701" s="50">
        <f>ROUND(IF(AQ701="5",BJ701,0),2)</f>
        <v>0</v>
      </c>
      <c r="AB701" s="50">
        <f>ROUND(IF(AQ701="1",BH701,0),2)</f>
        <v>0</v>
      </c>
      <c r="AC701" s="50">
        <f>ROUND(IF(AQ701="1",BI701,0),2)</f>
        <v>0</v>
      </c>
      <c r="AD701" s="50">
        <f>ROUND(IF(AQ701="7",BH701,0),2)</f>
        <v>0</v>
      </c>
      <c r="AE701" s="50">
        <f>ROUND(IF(AQ701="7",BI701,0),2)</f>
        <v>0</v>
      </c>
      <c r="AF701" s="50">
        <f>ROUND(IF(AQ701="2",BH701,0),2)</f>
        <v>0</v>
      </c>
      <c r="AG701" s="50">
        <f>ROUND(IF(AQ701="2",BI701,0),2)</f>
        <v>0</v>
      </c>
      <c r="AH701" s="50">
        <f>ROUND(IF(AQ701="0",BJ701,0),2)</f>
        <v>0</v>
      </c>
      <c r="AI701" s="32" t="s">
        <v>4</v>
      </c>
      <c r="AJ701" s="50">
        <f>IF(AN701=0,J701,0)</f>
        <v>0</v>
      </c>
      <c r="AK701" s="50">
        <f>IF(AN701=12,J701,0)</f>
        <v>0</v>
      </c>
      <c r="AL701" s="50">
        <f>IF(AN701=21,J701,0)</f>
        <v>0</v>
      </c>
      <c r="AN701" s="50">
        <v>21</v>
      </c>
      <c r="AO701" s="50">
        <f>G701*1</f>
        <v>0</v>
      </c>
      <c r="AP701" s="50">
        <f>G701*(1-1)</f>
        <v>0</v>
      </c>
      <c r="AQ701" s="52" t="s">
        <v>158</v>
      </c>
      <c r="AV701" s="50">
        <f>ROUND(AW701+AX701,2)</f>
        <v>0</v>
      </c>
      <c r="AW701" s="50">
        <f>ROUND(F701*AO701,2)</f>
        <v>0</v>
      </c>
      <c r="AX701" s="50">
        <f>ROUND(F701*AP701,2)</f>
        <v>0</v>
      </c>
      <c r="AY701" s="52" t="s">
        <v>1089</v>
      </c>
      <c r="AZ701" s="52" t="s">
        <v>1090</v>
      </c>
      <c r="BA701" s="32" t="s">
        <v>119</v>
      </c>
      <c r="BC701" s="50">
        <f>AW701+AX701</f>
        <v>0</v>
      </c>
      <c r="BD701" s="50">
        <f>G701/(100-BE701)*100</f>
        <v>0</v>
      </c>
      <c r="BE701" s="50">
        <v>0</v>
      </c>
      <c r="BF701" s="50">
        <f>701</f>
        <v>701</v>
      </c>
      <c r="BH701" s="50">
        <f>F701*AO701</f>
        <v>0</v>
      </c>
      <c r="BI701" s="50">
        <f>F701*AP701</f>
        <v>0</v>
      </c>
      <c r="BJ701" s="50">
        <f>F701*G701</f>
        <v>0</v>
      </c>
      <c r="BK701" s="50"/>
      <c r="BL701" s="50">
        <v>762</v>
      </c>
      <c r="BW701" s="50">
        <v>21</v>
      </c>
      <c r="BX701" s="3" t="s">
        <v>1100</v>
      </c>
    </row>
    <row r="702" spans="1:76" ht="14.4" x14ac:dyDescent="0.3">
      <c r="A702" s="53"/>
      <c r="C702" s="54" t="s">
        <v>1113</v>
      </c>
      <c r="D702" s="54" t="s">
        <v>4</v>
      </c>
      <c r="F702" s="55">
        <v>6.968</v>
      </c>
      <c r="K702" s="56"/>
    </row>
    <row r="703" spans="1:76" ht="14.4" x14ac:dyDescent="0.3">
      <c r="A703" s="53"/>
      <c r="C703" s="54" t="s">
        <v>1114</v>
      </c>
      <c r="D703" s="54" t="s">
        <v>4</v>
      </c>
      <c r="F703" s="55">
        <v>0.69679999999999997</v>
      </c>
      <c r="K703" s="56"/>
    </row>
    <row r="704" spans="1:76" ht="14.4" x14ac:dyDescent="0.3">
      <c r="A704" s="1" t="s">
        <v>1115</v>
      </c>
      <c r="B704" s="2" t="s">
        <v>1116</v>
      </c>
      <c r="C704" s="75" t="s">
        <v>1117</v>
      </c>
      <c r="D704" s="70"/>
      <c r="E704" s="2" t="s">
        <v>216</v>
      </c>
      <c r="F704" s="50">
        <v>128.428</v>
      </c>
      <c r="G704" s="50">
        <v>0</v>
      </c>
      <c r="H704" s="50">
        <f>ROUND(F704*AO704,2)</f>
        <v>0</v>
      </c>
      <c r="I704" s="50">
        <f>ROUND(F704*AP704,2)</f>
        <v>0</v>
      </c>
      <c r="J704" s="50">
        <f>ROUND(F704*G704,2)</f>
        <v>0</v>
      </c>
      <c r="K704" s="51" t="s">
        <v>116</v>
      </c>
      <c r="Z704" s="50">
        <f>ROUND(IF(AQ704="5",BJ704,0),2)</f>
        <v>0</v>
      </c>
      <c r="AB704" s="50">
        <f>ROUND(IF(AQ704="1",BH704,0),2)</f>
        <v>0</v>
      </c>
      <c r="AC704" s="50">
        <f>ROUND(IF(AQ704="1",BI704,0),2)</f>
        <v>0</v>
      </c>
      <c r="AD704" s="50">
        <f>ROUND(IF(AQ704="7",BH704,0),2)</f>
        <v>0</v>
      </c>
      <c r="AE704" s="50">
        <f>ROUND(IF(AQ704="7",BI704,0),2)</f>
        <v>0</v>
      </c>
      <c r="AF704" s="50">
        <f>ROUND(IF(AQ704="2",BH704,0),2)</f>
        <v>0</v>
      </c>
      <c r="AG704" s="50">
        <f>ROUND(IF(AQ704="2",BI704,0),2)</f>
        <v>0</v>
      </c>
      <c r="AH704" s="50">
        <f>ROUND(IF(AQ704="0",BJ704,0),2)</f>
        <v>0</v>
      </c>
      <c r="AI704" s="32" t="s">
        <v>4</v>
      </c>
      <c r="AJ704" s="50">
        <f>IF(AN704=0,J704,0)</f>
        <v>0</v>
      </c>
      <c r="AK704" s="50">
        <f>IF(AN704=12,J704,0)</f>
        <v>0</v>
      </c>
      <c r="AL704" s="50">
        <f>IF(AN704=21,J704,0)</f>
        <v>0</v>
      </c>
      <c r="AN704" s="50">
        <v>21</v>
      </c>
      <c r="AO704" s="50">
        <f>G704*0.542883539</f>
        <v>0</v>
      </c>
      <c r="AP704" s="50">
        <f>G704*(1-0.542883539)</f>
        <v>0</v>
      </c>
      <c r="AQ704" s="52" t="s">
        <v>158</v>
      </c>
      <c r="AV704" s="50">
        <f>ROUND(AW704+AX704,2)</f>
        <v>0</v>
      </c>
      <c r="AW704" s="50">
        <f>ROUND(F704*AO704,2)</f>
        <v>0</v>
      </c>
      <c r="AX704" s="50">
        <f>ROUND(F704*AP704,2)</f>
        <v>0</v>
      </c>
      <c r="AY704" s="52" t="s">
        <v>1089</v>
      </c>
      <c r="AZ704" s="52" t="s">
        <v>1090</v>
      </c>
      <c r="BA704" s="32" t="s">
        <v>119</v>
      </c>
      <c r="BC704" s="50">
        <f>AW704+AX704</f>
        <v>0</v>
      </c>
      <c r="BD704" s="50">
        <f>G704/(100-BE704)*100</f>
        <v>0</v>
      </c>
      <c r="BE704" s="50">
        <v>0</v>
      </c>
      <c r="BF704" s="50">
        <f>704</f>
        <v>704</v>
      </c>
      <c r="BH704" s="50">
        <f>F704*AO704</f>
        <v>0</v>
      </c>
      <c r="BI704" s="50">
        <f>F704*AP704</f>
        <v>0</v>
      </c>
      <c r="BJ704" s="50">
        <f>F704*G704</f>
        <v>0</v>
      </c>
      <c r="BK704" s="50"/>
      <c r="BL704" s="50">
        <v>762</v>
      </c>
      <c r="BW704" s="50">
        <v>21</v>
      </c>
      <c r="BX704" s="3" t="s">
        <v>1117</v>
      </c>
    </row>
    <row r="705" spans="1:76" ht="13.5" customHeight="1" x14ac:dyDescent="0.3">
      <c r="A705" s="53"/>
      <c r="B705" s="57" t="s">
        <v>198</v>
      </c>
      <c r="C705" s="150" t="s">
        <v>1118</v>
      </c>
      <c r="D705" s="151"/>
      <c r="E705" s="151"/>
      <c r="F705" s="151"/>
      <c r="G705" s="151"/>
      <c r="H705" s="151"/>
      <c r="I705" s="151"/>
      <c r="J705" s="151"/>
      <c r="K705" s="152"/>
    </row>
    <row r="706" spans="1:76" ht="14.4" x14ac:dyDescent="0.3">
      <c r="A706" s="53"/>
      <c r="C706" s="54" t="s">
        <v>1119</v>
      </c>
      <c r="D706" s="54" t="s">
        <v>4</v>
      </c>
      <c r="F706" s="55">
        <v>168.68799999999999</v>
      </c>
      <c r="K706" s="56"/>
    </row>
    <row r="707" spans="1:76" ht="14.4" x14ac:dyDescent="0.3">
      <c r="A707" s="53"/>
      <c r="C707" s="54" t="s">
        <v>1120</v>
      </c>
      <c r="D707" s="54" t="s">
        <v>4</v>
      </c>
      <c r="F707" s="55">
        <v>-40.26</v>
      </c>
      <c r="K707" s="56"/>
    </row>
    <row r="708" spans="1:76" ht="14.4" x14ac:dyDescent="0.3">
      <c r="A708" s="1" t="s">
        <v>1121</v>
      </c>
      <c r="B708" s="2" t="s">
        <v>1122</v>
      </c>
      <c r="C708" s="75" t="s">
        <v>1123</v>
      </c>
      <c r="D708" s="70"/>
      <c r="E708" s="2" t="s">
        <v>216</v>
      </c>
      <c r="F708" s="50">
        <v>128.428</v>
      </c>
      <c r="G708" s="50">
        <v>0</v>
      </c>
      <c r="H708" s="50">
        <f>ROUND(F708*AO708,2)</f>
        <v>0</v>
      </c>
      <c r="I708" s="50">
        <f>ROUND(F708*AP708,2)</f>
        <v>0</v>
      </c>
      <c r="J708" s="50">
        <f>ROUND(F708*G708,2)</f>
        <v>0</v>
      </c>
      <c r="K708" s="51" t="s">
        <v>116</v>
      </c>
      <c r="Z708" s="50">
        <f>ROUND(IF(AQ708="5",BJ708,0),2)</f>
        <v>0</v>
      </c>
      <c r="AB708" s="50">
        <f>ROUND(IF(AQ708="1",BH708,0),2)</f>
        <v>0</v>
      </c>
      <c r="AC708" s="50">
        <f>ROUND(IF(AQ708="1",BI708,0),2)</f>
        <v>0</v>
      </c>
      <c r="AD708" s="50">
        <f>ROUND(IF(AQ708="7",BH708,0),2)</f>
        <v>0</v>
      </c>
      <c r="AE708" s="50">
        <f>ROUND(IF(AQ708="7",BI708,0),2)</f>
        <v>0</v>
      </c>
      <c r="AF708" s="50">
        <f>ROUND(IF(AQ708="2",BH708,0),2)</f>
        <v>0</v>
      </c>
      <c r="AG708" s="50">
        <f>ROUND(IF(AQ708="2",BI708,0),2)</f>
        <v>0</v>
      </c>
      <c r="AH708" s="50">
        <f>ROUND(IF(AQ708="0",BJ708,0),2)</f>
        <v>0</v>
      </c>
      <c r="AI708" s="32" t="s">
        <v>4</v>
      </c>
      <c r="AJ708" s="50">
        <f>IF(AN708=0,J708,0)</f>
        <v>0</v>
      </c>
      <c r="AK708" s="50">
        <f>IF(AN708=12,J708,0)</f>
        <v>0</v>
      </c>
      <c r="AL708" s="50">
        <f>IF(AN708=21,J708,0)</f>
        <v>0</v>
      </c>
      <c r="AN708" s="50">
        <v>21</v>
      </c>
      <c r="AO708" s="50">
        <f>G708*0.35837338</f>
        <v>0</v>
      </c>
      <c r="AP708" s="50">
        <f>G708*(1-0.35837338)</f>
        <v>0</v>
      </c>
      <c r="AQ708" s="52" t="s">
        <v>158</v>
      </c>
      <c r="AV708" s="50">
        <f>ROUND(AW708+AX708,2)</f>
        <v>0</v>
      </c>
      <c r="AW708" s="50">
        <f>ROUND(F708*AO708,2)</f>
        <v>0</v>
      </c>
      <c r="AX708" s="50">
        <f>ROUND(F708*AP708,2)</f>
        <v>0</v>
      </c>
      <c r="AY708" s="52" t="s">
        <v>1089</v>
      </c>
      <c r="AZ708" s="52" t="s">
        <v>1090</v>
      </c>
      <c r="BA708" s="32" t="s">
        <v>119</v>
      </c>
      <c r="BC708" s="50">
        <f>AW708+AX708</f>
        <v>0</v>
      </c>
      <c r="BD708" s="50">
        <f>G708/(100-BE708)*100</f>
        <v>0</v>
      </c>
      <c r="BE708" s="50">
        <v>0</v>
      </c>
      <c r="BF708" s="50">
        <f>708</f>
        <v>708</v>
      </c>
      <c r="BH708" s="50">
        <f>F708*AO708</f>
        <v>0</v>
      </c>
      <c r="BI708" s="50">
        <f>F708*AP708</f>
        <v>0</v>
      </c>
      <c r="BJ708" s="50">
        <f>F708*G708</f>
        <v>0</v>
      </c>
      <c r="BK708" s="50"/>
      <c r="BL708" s="50">
        <v>762</v>
      </c>
      <c r="BW708" s="50">
        <v>21</v>
      </c>
      <c r="BX708" s="3" t="s">
        <v>1123</v>
      </c>
    </row>
    <row r="709" spans="1:76" ht="13.5" customHeight="1" x14ac:dyDescent="0.3">
      <c r="A709" s="53"/>
      <c r="B709" s="57" t="s">
        <v>198</v>
      </c>
      <c r="C709" s="150" t="s">
        <v>1124</v>
      </c>
      <c r="D709" s="151"/>
      <c r="E709" s="151"/>
      <c r="F709" s="151"/>
      <c r="G709" s="151"/>
      <c r="H709" s="151"/>
      <c r="I709" s="151"/>
      <c r="J709" s="151"/>
      <c r="K709" s="152"/>
    </row>
    <row r="710" spans="1:76" ht="14.4" x14ac:dyDescent="0.3">
      <c r="A710" s="53"/>
      <c r="C710" s="54" t="s">
        <v>1119</v>
      </c>
      <c r="D710" s="54" t="s">
        <v>4</v>
      </c>
      <c r="F710" s="55">
        <v>168.68799999999999</v>
      </c>
      <c r="K710" s="56"/>
    </row>
    <row r="711" spans="1:76" ht="14.4" x14ac:dyDescent="0.3">
      <c r="A711" s="53"/>
      <c r="C711" s="54" t="s">
        <v>1120</v>
      </c>
      <c r="D711" s="54" t="s">
        <v>4</v>
      </c>
      <c r="F711" s="55">
        <v>-40.26</v>
      </c>
      <c r="K711" s="56"/>
    </row>
    <row r="712" spans="1:76" ht="14.4" x14ac:dyDescent="0.3">
      <c r="A712" s="1" t="s">
        <v>1125</v>
      </c>
      <c r="B712" s="2" t="s">
        <v>1126</v>
      </c>
      <c r="C712" s="75" t="s">
        <v>1127</v>
      </c>
      <c r="D712" s="70"/>
      <c r="E712" s="2" t="s">
        <v>173</v>
      </c>
      <c r="F712" s="50">
        <v>9.2759699999999992</v>
      </c>
      <c r="G712" s="50">
        <v>0</v>
      </c>
      <c r="H712" s="50">
        <f>ROUND(F712*AO712,2)</f>
        <v>0</v>
      </c>
      <c r="I712" s="50">
        <f>ROUND(F712*AP712,2)</f>
        <v>0</v>
      </c>
      <c r="J712" s="50">
        <f>ROUND(F712*G712,2)</f>
        <v>0</v>
      </c>
      <c r="K712" s="51" t="s">
        <v>116</v>
      </c>
      <c r="Z712" s="50">
        <f>ROUND(IF(AQ712="5",BJ712,0),2)</f>
        <v>0</v>
      </c>
      <c r="AB712" s="50">
        <f>ROUND(IF(AQ712="1",BH712,0),2)</f>
        <v>0</v>
      </c>
      <c r="AC712" s="50">
        <f>ROUND(IF(AQ712="1",BI712,0),2)</f>
        <v>0</v>
      </c>
      <c r="AD712" s="50">
        <f>ROUND(IF(AQ712="7",BH712,0),2)</f>
        <v>0</v>
      </c>
      <c r="AE712" s="50">
        <f>ROUND(IF(AQ712="7",BI712,0),2)</f>
        <v>0</v>
      </c>
      <c r="AF712" s="50">
        <f>ROUND(IF(AQ712="2",BH712,0),2)</f>
        <v>0</v>
      </c>
      <c r="AG712" s="50">
        <f>ROUND(IF(AQ712="2",BI712,0),2)</f>
        <v>0</v>
      </c>
      <c r="AH712" s="50">
        <f>ROUND(IF(AQ712="0",BJ712,0),2)</f>
        <v>0</v>
      </c>
      <c r="AI712" s="32" t="s">
        <v>4</v>
      </c>
      <c r="AJ712" s="50">
        <f>IF(AN712=0,J712,0)</f>
        <v>0</v>
      </c>
      <c r="AK712" s="50">
        <f>IF(AN712=12,J712,0)</f>
        <v>0</v>
      </c>
      <c r="AL712" s="50">
        <f>IF(AN712=21,J712,0)</f>
        <v>0</v>
      </c>
      <c r="AN712" s="50">
        <v>21</v>
      </c>
      <c r="AO712" s="50">
        <f>G712*0</f>
        <v>0</v>
      </c>
      <c r="AP712" s="50">
        <f>G712*(1-0)</f>
        <v>0</v>
      </c>
      <c r="AQ712" s="52" t="s">
        <v>147</v>
      </c>
      <c r="AV712" s="50">
        <f>ROUND(AW712+AX712,2)</f>
        <v>0</v>
      </c>
      <c r="AW712" s="50">
        <f>ROUND(F712*AO712,2)</f>
        <v>0</v>
      </c>
      <c r="AX712" s="50">
        <f>ROUND(F712*AP712,2)</f>
        <v>0</v>
      </c>
      <c r="AY712" s="52" t="s">
        <v>1089</v>
      </c>
      <c r="AZ712" s="52" t="s">
        <v>1090</v>
      </c>
      <c r="BA712" s="32" t="s">
        <v>119</v>
      </c>
      <c r="BC712" s="50">
        <f>AW712+AX712</f>
        <v>0</v>
      </c>
      <c r="BD712" s="50">
        <f>G712/(100-BE712)*100</f>
        <v>0</v>
      </c>
      <c r="BE712" s="50">
        <v>0</v>
      </c>
      <c r="BF712" s="50">
        <f>712</f>
        <v>712</v>
      </c>
      <c r="BH712" s="50">
        <f>F712*AO712</f>
        <v>0</v>
      </c>
      <c r="BI712" s="50">
        <f>F712*AP712</f>
        <v>0</v>
      </c>
      <c r="BJ712" s="50">
        <f>F712*G712</f>
        <v>0</v>
      </c>
      <c r="BK712" s="50"/>
      <c r="BL712" s="50">
        <v>762</v>
      </c>
      <c r="BW712" s="50">
        <v>21</v>
      </c>
      <c r="BX712" s="3" t="s">
        <v>1127</v>
      </c>
    </row>
    <row r="713" spans="1:76" ht="14.4" x14ac:dyDescent="0.3">
      <c r="A713" s="46" t="s">
        <v>4</v>
      </c>
      <c r="B713" s="47" t="s">
        <v>1128</v>
      </c>
      <c r="C713" s="148" t="s">
        <v>1129</v>
      </c>
      <c r="D713" s="149"/>
      <c r="E713" s="48" t="s">
        <v>74</v>
      </c>
      <c r="F713" s="48" t="s">
        <v>74</v>
      </c>
      <c r="G713" s="48" t="s">
        <v>74</v>
      </c>
      <c r="H713" s="26">
        <f>SUM(H714:H723)</f>
        <v>0</v>
      </c>
      <c r="I713" s="26">
        <f>SUM(I714:I723)</f>
        <v>0</v>
      </c>
      <c r="J713" s="26">
        <f>SUM(J714:J723)</f>
        <v>0</v>
      </c>
      <c r="K713" s="49" t="s">
        <v>4</v>
      </c>
      <c r="AI713" s="32" t="s">
        <v>4</v>
      </c>
      <c r="AS713" s="26">
        <f>SUM(AJ714:AJ723)</f>
        <v>0</v>
      </c>
      <c r="AT713" s="26">
        <f>SUM(AK714:AK723)</f>
        <v>0</v>
      </c>
      <c r="AU713" s="26">
        <f>SUM(AL714:AL723)</f>
        <v>0</v>
      </c>
    </row>
    <row r="714" spans="1:76" ht="14.4" x14ac:dyDescent="0.3">
      <c r="A714" s="1" t="s">
        <v>1130</v>
      </c>
      <c r="B714" s="2" t="s">
        <v>1131</v>
      </c>
      <c r="C714" s="75" t="s">
        <v>1132</v>
      </c>
      <c r="D714" s="70"/>
      <c r="E714" s="2" t="s">
        <v>216</v>
      </c>
      <c r="F714" s="50">
        <v>162.58799999999999</v>
      </c>
      <c r="G714" s="50">
        <v>0</v>
      </c>
      <c r="H714" s="50">
        <f>ROUND(F714*AO714,2)</f>
        <v>0</v>
      </c>
      <c r="I714" s="50">
        <f>ROUND(F714*AP714,2)</f>
        <v>0</v>
      </c>
      <c r="J714" s="50">
        <f>ROUND(F714*G714,2)</f>
        <v>0</v>
      </c>
      <c r="K714" s="51" t="s">
        <v>116</v>
      </c>
      <c r="Z714" s="50">
        <f>ROUND(IF(AQ714="5",BJ714,0),2)</f>
        <v>0</v>
      </c>
      <c r="AB714" s="50">
        <f>ROUND(IF(AQ714="1",BH714,0),2)</f>
        <v>0</v>
      </c>
      <c r="AC714" s="50">
        <f>ROUND(IF(AQ714="1",BI714,0),2)</f>
        <v>0</v>
      </c>
      <c r="AD714" s="50">
        <f>ROUND(IF(AQ714="7",BH714,0),2)</f>
        <v>0</v>
      </c>
      <c r="AE714" s="50">
        <f>ROUND(IF(AQ714="7",BI714,0),2)</f>
        <v>0</v>
      </c>
      <c r="AF714" s="50">
        <f>ROUND(IF(AQ714="2",BH714,0),2)</f>
        <v>0</v>
      </c>
      <c r="AG714" s="50">
        <f>ROUND(IF(AQ714="2",BI714,0),2)</f>
        <v>0</v>
      </c>
      <c r="AH714" s="50">
        <f>ROUND(IF(AQ714="0",BJ714,0),2)</f>
        <v>0</v>
      </c>
      <c r="AI714" s="32" t="s">
        <v>4</v>
      </c>
      <c r="AJ714" s="50">
        <f>IF(AN714=0,J714,0)</f>
        <v>0</v>
      </c>
      <c r="AK714" s="50">
        <f>IF(AN714=12,J714,0)</f>
        <v>0</v>
      </c>
      <c r="AL714" s="50">
        <f>IF(AN714=21,J714,0)</f>
        <v>0</v>
      </c>
      <c r="AN714" s="50">
        <v>21</v>
      </c>
      <c r="AO714" s="50">
        <f>G714*0.061666501</f>
        <v>0</v>
      </c>
      <c r="AP714" s="50">
        <f>G714*(1-0.061666501)</f>
        <v>0</v>
      </c>
      <c r="AQ714" s="52" t="s">
        <v>158</v>
      </c>
      <c r="AV714" s="50">
        <f>ROUND(AW714+AX714,2)</f>
        <v>0</v>
      </c>
      <c r="AW714" s="50">
        <f>ROUND(F714*AO714,2)</f>
        <v>0</v>
      </c>
      <c r="AX714" s="50">
        <f>ROUND(F714*AP714,2)</f>
        <v>0</v>
      </c>
      <c r="AY714" s="52" t="s">
        <v>1133</v>
      </c>
      <c r="AZ714" s="52" t="s">
        <v>1090</v>
      </c>
      <c r="BA714" s="32" t="s">
        <v>119</v>
      </c>
      <c r="BC714" s="50">
        <f>AW714+AX714</f>
        <v>0</v>
      </c>
      <c r="BD714" s="50">
        <f>G714/(100-BE714)*100</f>
        <v>0</v>
      </c>
      <c r="BE714" s="50">
        <v>0</v>
      </c>
      <c r="BF714" s="50">
        <f>714</f>
        <v>714</v>
      </c>
      <c r="BH714" s="50">
        <f>F714*AO714</f>
        <v>0</v>
      </c>
      <c r="BI714" s="50">
        <f>F714*AP714</f>
        <v>0</v>
      </c>
      <c r="BJ714" s="50">
        <f>F714*G714</f>
        <v>0</v>
      </c>
      <c r="BK714" s="50"/>
      <c r="BL714" s="50">
        <v>763</v>
      </c>
      <c r="BW714" s="50">
        <v>21</v>
      </c>
      <c r="BX714" s="3" t="s">
        <v>1132</v>
      </c>
    </row>
    <row r="715" spans="1:76" ht="14.4" x14ac:dyDescent="0.3">
      <c r="A715" s="53"/>
      <c r="C715" s="54" t="s">
        <v>1134</v>
      </c>
      <c r="D715" s="54" t="s">
        <v>4</v>
      </c>
      <c r="F715" s="55">
        <v>67.680000000000007</v>
      </c>
      <c r="K715" s="56"/>
    </row>
    <row r="716" spans="1:76" ht="14.4" x14ac:dyDescent="0.3">
      <c r="A716" s="53"/>
      <c r="C716" s="54" t="s">
        <v>1135</v>
      </c>
      <c r="D716" s="54" t="s">
        <v>4</v>
      </c>
      <c r="F716" s="55">
        <v>60.48</v>
      </c>
      <c r="K716" s="56"/>
    </row>
    <row r="717" spans="1:76" ht="14.4" x14ac:dyDescent="0.3">
      <c r="A717" s="53"/>
      <c r="C717" s="54" t="s">
        <v>679</v>
      </c>
      <c r="D717" s="54" t="s">
        <v>4</v>
      </c>
      <c r="F717" s="55">
        <v>40.26</v>
      </c>
      <c r="K717" s="56"/>
    </row>
    <row r="718" spans="1:76" ht="14.4" x14ac:dyDescent="0.3">
      <c r="A718" s="53"/>
      <c r="C718" s="54" t="s">
        <v>480</v>
      </c>
      <c r="D718" s="54" t="s">
        <v>4</v>
      </c>
      <c r="F718" s="55">
        <v>-5.4720000000000004</v>
      </c>
      <c r="K718" s="56"/>
    </row>
    <row r="719" spans="1:76" ht="14.4" x14ac:dyDescent="0.3">
      <c r="A719" s="53"/>
      <c r="C719" s="54" t="s">
        <v>481</v>
      </c>
      <c r="D719" s="54" t="s">
        <v>4</v>
      </c>
      <c r="F719" s="55">
        <v>-0.36</v>
      </c>
      <c r="K719" s="56"/>
    </row>
    <row r="720" spans="1:76" ht="14.4" x14ac:dyDescent="0.3">
      <c r="A720" s="1" t="s">
        <v>1136</v>
      </c>
      <c r="B720" s="2" t="s">
        <v>1137</v>
      </c>
      <c r="C720" s="75" t="s">
        <v>1138</v>
      </c>
      <c r="D720" s="70"/>
      <c r="E720" s="2" t="s">
        <v>216</v>
      </c>
      <c r="F720" s="50">
        <v>178.8468</v>
      </c>
      <c r="G720" s="50">
        <v>0</v>
      </c>
      <c r="H720" s="50">
        <f>ROUND(F720*AO720,2)</f>
        <v>0</v>
      </c>
      <c r="I720" s="50">
        <f>ROUND(F720*AP720,2)</f>
        <v>0</v>
      </c>
      <c r="J720" s="50">
        <f>ROUND(F720*G720,2)</f>
        <v>0</v>
      </c>
      <c r="K720" s="51" t="s">
        <v>116</v>
      </c>
      <c r="Z720" s="50">
        <f>ROUND(IF(AQ720="5",BJ720,0),2)</f>
        <v>0</v>
      </c>
      <c r="AB720" s="50">
        <f>ROUND(IF(AQ720="1",BH720,0),2)</f>
        <v>0</v>
      </c>
      <c r="AC720" s="50">
        <f>ROUND(IF(AQ720="1",BI720,0),2)</f>
        <v>0</v>
      </c>
      <c r="AD720" s="50">
        <f>ROUND(IF(AQ720="7",BH720,0),2)</f>
        <v>0</v>
      </c>
      <c r="AE720" s="50">
        <f>ROUND(IF(AQ720="7",BI720,0),2)</f>
        <v>0</v>
      </c>
      <c r="AF720" s="50">
        <f>ROUND(IF(AQ720="2",BH720,0),2)</f>
        <v>0</v>
      </c>
      <c r="AG720" s="50">
        <f>ROUND(IF(AQ720="2",BI720,0),2)</f>
        <v>0</v>
      </c>
      <c r="AH720" s="50">
        <f>ROUND(IF(AQ720="0",BJ720,0),2)</f>
        <v>0</v>
      </c>
      <c r="AI720" s="32" t="s">
        <v>4</v>
      </c>
      <c r="AJ720" s="50">
        <f>IF(AN720=0,J720,0)</f>
        <v>0</v>
      </c>
      <c r="AK720" s="50">
        <f>IF(AN720=12,J720,0)</f>
        <v>0</v>
      </c>
      <c r="AL720" s="50">
        <f>IF(AN720=21,J720,0)</f>
        <v>0</v>
      </c>
      <c r="AN720" s="50">
        <v>21</v>
      </c>
      <c r="AO720" s="50">
        <f>G720*1</f>
        <v>0</v>
      </c>
      <c r="AP720" s="50">
        <f>G720*(1-1)</f>
        <v>0</v>
      </c>
      <c r="AQ720" s="52" t="s">
        <v>158</v>
      </c>
      <c r="AV720" s="50">
        <f>ROUND(AW720+AX720,2)</f>
        <v>0</v>
      </c>
      <c r="AW720" s="50">
        <f>ROUND(F720*AO720,2)</f>
        <v>0</v>
      </c>
      <c r="AX720" s="50">
        <f>ROUND(F720*AP720,2)</f>
        <v>0</v>
      </c>
      <c r="AY720" s="52" t="s">
        <v>1133</v>
      </c>
      <c r="AZ720" s="52" t="s">
        <v>1090</v>
      </c>
      <c r="BA720" s="32" t="s">
        <v>119</v>
      </c>
      <c r="BC720" s="50">
        <f>AW720+AX720</f>
        <v>0</v>
      </c>
      <c r="BD720" s="50">
        <f>G720/(100-BE720)*100</f>
        <v>0</v>
      </c>
      <c r="BE720" s="50">
        <v>0</v>
      </c>
      <c r="BF720" s="50">
        <f>720</f>
        <v>720</v>
      </c>
      <c r="BH720" s="50">
        <f>F720*AO720</f>
        <v>0</v>
      </c>
      <c r="BI720" s="50">
        <f>F720*AP720</f>
        <v>0</v>
      </c>
      <c r="BJ720" s="50">
        <f>F720*G720</f>
        <v>0</v>
      </c>
      <c r="BK720" s="50"/>
      <c r="BL720" s="50">
        <v>763</v>
      </c>
      <c r="BW720" s="50">
        <v>21</v>
      </c>
      <c r="BX720" s="3" t="s">
        <v>1138</v>
      </c>
    </row>
    <row r="721" spans="1:76" ht="14.4" x14ac:dyDescent="0.3">
      <c r="A721" s="53"/>
      <c r="C721" s="54" t="s">
        <v>1139</v>
      </c>
      <c r="D721" s="54" t="s">
        <v>4</v>
      </c>
      <c r="F721" s="55">
        <v>162.58799999999999</v>
      </c>
      <c r="K721" s="56"/>
    </row>
    <row r="722" spans="1:76" ht="14.4" x14ac:dyDescent="0.3">
      <c r="A722" s="53"/>
      <c r="C722" s="54" t="s">
        <v>1140</v>
      </c>
      <c r="D722" s="54" t="s">
        <v>4</v>
      </c>
      <c r="F722" s="55">
        <v>16.258800000000001</v>
      </c>
      <c r="K722" s="56"/>
    </row>
    <row r="723" spans="1:76" ht="14.4" x14ac:dyDescent="0.3">
      <c r="A723" s="1" t="s">
        <v>1141</v>
      </c>
      <c r="B723" s="2" t="s">
        <v>1142</v>
      </c>
      <c r="C723" s="75" t="s">
        <v>1143</v>
      </c>
      <c r="D723" s="70"/>
      <c r="E723" s="2" t="s">
        <v>173</v>
      </c>
      <c r="F723" s="50">
        <v>2.0291000000000001</v>
      </c>
      <c r="G723" s="50">
        <v>0</v>
      </c>
      <c r="H723" s="50">
        <f>ROUND(F723*AO723,2)</f>
        <v>0</v>
      </c>
      <c r="I723" s="50">
        <f>ROUND(F723*AP723,2)</f>
        <v>0</v>
      </c>
      <c r="J723" s="50">
        <f>ROUND(F723*G723,2)</f>
        <v>0</v>
      </c>
      <c r="K723" s="51" t="s">
        <v>116</v>
      </c>
      <c r="Z723" s="50">
        <f>ROUND(IF(AQ723="5",BJ723,0),2)</f>
        <v>0</v>
      </c>
      <c r="AB723" s="50">
        <f>ROUND(IF(AQ723="1",BH723,0),2)</f>
        <v>0</v>
      </c>
      <c r="AC723" s="50">
        <f>ROUND(IF(AQ723="1",BI723,0),2)</f>
        <v>0</v>
      </c>
      <c r="AD723" s="50">
        <f>ROUND(IF(AQ723="7",BH723,0),2)</f>
        <v>0</v>
      </c>
      <c r="AE723" s="50">
        <f>ROUND(IF(AQ723="7",BI723,0),2)</f>
        <v>0</v>
      </c>
      <c r="AF723" s="50">
        <f>ROUND(IF(AQ723="2",BH723,0),2)</f>
        <v>0</v>
      </c>
      <c r="AG723" s="50">
        <f>ROUND(IF(AQ723="2",BI723,0),2)</f>
        <v>0</v>
      </c>
      <c r="AH723" s="50">
        <f>ROUND(IF(AQ723="0",BJ723,0),2)</f>
        <v>0</v>
      </c>
      <c r="AI723" s="32" t="s">
        <v>4</v>
      </c>
      <c r="AJ723" s="50">
        <f>IF(AN723=0,J723,0)</f>
        <v>0</v>
      </c>
      <c r="AK723" s="50">
        <f>IF(AN723=12,J723,0)</f>
        <v>0</v>
      </c>
      <c r="AL723" s="50">
        <f>IF(AN723=21,J723,0)</f>
        <v>0</v>
      </c>
      <c r="AN723" s="50">
        <v>21</v>
      </c>
      <c r="AO723" s="50">
        <f>G723*0</f>
        <v>0</v>
      </c>
      <c r="AP723" s="50">
        <f>G723*(1-0)</f>
        <v>0</v>
      </c>
      <c r="AQ723" s="52" t="s">
        <v>147</v>
      </c>
      <c r="AV723" s="50">
        <f>ROUND(AW723+AX723,2)</f>
        <v>0</v>
      </c>
      <c r="AW723" s="50">
        <f>ROUND(F723*AO723,2)</f>
        <v>0</v>
      </c>
      <c r="AX723" s="50">
        <f>ROUND(F723*AP723,2)</f>
        <v>0</v>
      </c>
      <c r="AY723" s="52" t="s">
        <v>1133</v>
      </c>
      <c r="AZ723" s="52" t="s">
        <v>1090</v>
      </c>
      <c r="BA723" s="32" t="s">
        <v>119</v>
      </c>
      <c r="BC723" s="50">
        <f>AW723+AX723</f>
        <v>0</v>
      </c>
      <c r="BD723" s="50">
        <f>G723/(100-BE723)*100</f>
        <v>0</v>
      </c>
      <c r="BE723" s="50">
        <v>0</v>
      </c>
      <c r="BF723" s="50">
        <f>723</f>
        <v>723</v>
      </c>
      <c r="BH723" s="50">
        <f>F723*AO723</f>
        <v>0</v>
      </c>
      <c r="BI723" s="50">
        <f>F723*AP723</f>
        <v>0</v>
      </c>
      <c r="BJ723" s="50">
        <f>F723*G723</f>
        <v>0</v>
      </c>
      <c r="BK723" s="50"/>
      <c r="BL723" s="50">
        <v>763</v>
      </c>
      <c r="BW723" s="50">
        <v>21</v>
      </c>
      <c r="BX723" s="3" t="s">
        <v>1143</v>
      </c>
    </row>
    <row r="724" spans="1:76" ht="14.4" x14ac:dyDescent="0.3">
      <c r="A724" s="46" t="s">
        <v>4</v>
      </c>
      <c r="B724" s="47" t="s">
        <v>1144</v>
      </c>
      <c r="C724" s="148" t="s">
        <v>1145</v>
      </c>
      <c r="D724" s="149"/>
      <c r="E724" s="48" t="s">
        <v>74</v>
      </c>
      <c r="F724" s="48" t="s">
        <v>74</v>
      </c>
      <c r="G724" s="48" t="s">
        <v>74</v>
      </c>
      <c r="H724" s="26">
        <f>SUM(H725:H752)</f>
        <v>0</v>
      </c>
      <c r="I724" s="26">
        <f>SUM(I725:I752)</f>
        <v>0</v>
      </c>
      <c r="J724" s="26">
        <f>SUM(J725:J752)</f>
        <v>0</v>
      </c>
      <c r="K724" s="49" t="s">
        <v>4</v>
      </c>
      <c r="AI724" s="32" t="s">
        <v>4</v>
      </c>
      <c r="AS724" s="26">
        <f>SUM(AJ725:AJ752)</f>
        <v>0</v>
      </c>
      <c r="AT724" s="26">
        <f>SUM(AK725:AK752)</f>
        <v>0</v>
      </c>
      <c r="AU724" s="26">
        <f>SUM(AL725:AL752)</f>
        <v>0</v>
      </c>
    </row>
    <row r="725" spans="1:76" ht="14.4" x14ac:dyDescent="0.3">
      <c r="A725" s="1" t="s">
        <v>1146</v>
      </c>
      <c r="B725" s="2" t="s">
        <v>1147</v>
      </c>
      <c r="C725" s="75" t="s">
        <v>1148</v>
      </c>
      <c r="D725" s="70"/>
      <c r="E725" s="2" t="s">
        <v>233</v>
      </c>
      <c r="F725" s="50">
        <v>11.6</v>
      </c>
      <c r="G725" s="50">
        <v>0</v>
      </c>
      <c r="H725" s="50">
        <f>ROUND(F725*AO725,2)</f>
        <v>0</v>
      </c>
      <c r="I725" s="50">
        <f>ROUND(F725*AP725,2)</f>
        <v>0</v>
      </c>
      <c r="J725" s="50">
        <f>ROUND(F725*G725,2)</f>
        <v>0</v>
      </c>
      <c r="K725" s="51" t="s">
        <v>116</v>
      </c>
      <c r="Z725" s="50">
        <f>ROUND(IF(AQ725="5",BJ725,0),2)</f>
        <v>0</v>
      </c>
      <c r="AB725" s="50">
        <f>ROUND(IF(AQ725="1",BH725,0),2)</f>
        <v>0</v>
      </c>
      <c r="AC725" s="50">
        <f>ROUND(IF(AQ725="1",BI725,0),2)</f>
        <v>0</v>
      </c>
      <c r="AD725" s="50">
        <f>ROUND(IF(AQ725="7",BH725,0),2)</f>
        <v>0</v>
      </c>
      <c r="AE725" s="50">
        <f>ROUND(IF(AQ725="7",BI725,0),2)</f>
        <v>0</v>
      </c>
      <c r="AF725" s="50">
        <f>ROUND(IF(AQ725="2",BH725,0),2)</f>
        <v>0</v>
      </c>
      <c r="AG725" s="50">
        <f>ROUND(IF(AQ725="2",BI725,0),2)</f>
        <v>0</v>
      </c>
      <c r="AH725" s="50">
        <f>ROUND(IF(AQ725="0",BJ725,0),2)</f>
        <v>0</v>
      </c>
      <c r="AI725" s="32" t="s">
        <v>4</v>
      </c>
      <c r="AJ725" s="50">
        <f>IF(AN725=0,J725,0)</f>
        <v>0</v>
      </c>
      <c r="AK725" s="50">
        <f>IF(AN725=12,J725,0)</f>
        <v>0</v>
      </c>
      <c r="AL725" s="50">
        <f>IF(AN725=21,J725,0)</f>
        <v>0</v>
      </c>
      <c r="AN725" s="50">
        <v>21</v>
      </c>
      <c r="AO725" s="50">
        <f>G725*0.025428082</f>
        <v>0</v>
      </c>
      <c r="AP725" s="50">
        <f>G725*(1-0.025428082)</f>
        <v>0</v>
      </c>
      <c r="AQ725" s="52" t="s">
        <v>158</v>
      </c>
      <c r="AV725" s="50">
        <f>ROUND(AW725+AX725,2)</f>
        <v>0</v>
      </c>
      <c r="AW725" s="50">
        <f>ROUND(F725*AO725,2)</f>
        <v>0</v>
      </c>
      <c r="AX725" s="50">
        <f>ROUND(F725*AP725,2)</f>
        <v>0</v>
      </c>
      <c r="AY725" s="52" t="s">
        <v>1149</v>
      </c>
      <c r="AZ725" s="52" t="s">
        <v>1090</v>
      </c>
      <c r="BA725" s="32" t="s">
        <v>119</v>
      </c>
      <c r="BC725" s="50">
        <f>AW725+AX725</f>
        <v>0</v>
      </c>
      <c r="BD725" s="50">
        <f>G725/(100-BE725)*100</f>
        <v>0</v>
      </c>
      <c r="BE725" s="50">
        <v>0</v>
      </c>
      <c r="BF725" s="50">
        <f>725</f>
        <v>725</v>
      </c>
      <c r="BH725" s="50">
        <f>F725*AO725</f>
        <v>0</v>
      </c>
      <c r="BI725" s="50">
        <f>F725*AP725</f>
        <v>0</v>
      </c>
      <c r="BJ725" s="50">
        <f>F725*G725</f>
        <v>0</v>
      </c>
      <c r="BK725" s="50"/>
      <c r="BL725" s="50">
        <v>764</v>
      </c>
      <c r="BW725" s="50">
        <v>21</v>
      </c>
      <c r="BX725" s="3" t="s">
        <v>1148</v>
      </c>
    </row>
    <row r="726" spans="1:76" ht="14.4" x14ac:dyDescent="0.3">
      <c r="A726" s="53"/>
      <c r="C726" s="54" t="s">
        <v>1150</v>
      </c>
      <c r="D726" s="54" t="s">
        <v>4</v>
      </c>
      <c r="F726" s="55">
        <v>11.6</v>
      </c>
      <c r="K726" s="56"/>
    </row>
    <row r="727" spans="1:76" ht="14.4" x14ac:dyDescent="0.3">
      <c r="A727" s="1" t="s">
        <v>1151</v>
      </c>
      <c r="B727" s="2" t="s">
        <v>1152</v>
      </c>
      <c r="C727" s="75" t="s">
        <v>1153</v>
      </c>
      <c r="D727" s="70"/>
      <c r="E727" s="2" t="s">
        <v>216</v>
      </c>
      <c r="F727" s="50">
        <v>7.1354600000000001</v>
      </c>
      <c r="G727" s="50">
        <v>0</v>
      </c>
      <c r="H727" s="50">
        <f>ROUND(F727*AO727,2)</f>
        <v>0</v>
      </c>
      <c r="I727" s="50">
        <f>ROUND(F727*AP727,2)</f>
        <v>0</v>
      </c>
      <c r="J727" s="50">
        <f>ROUND(F727*G727,2)</f>
        <v>0</v>
      </c>
      <c r="K727" s="51" t="s">
        <v>116</v>
      </c>
      <c r="Z727" s="50">
        <f>ROUND(IF(AQ727="5",BJ727,0),2)</f>
        <v>0</v>
      </c>
      <c r="AB727" s="50">
        <f>ROUND(IF(AQ727="1",BH727,0),2)</f>
        <v>0</v>
      </c>
      <c r="AC727" s="50">
        <f>ROUND(IF(AQ727="1",BI727,0),2)</f>
        <v>0</v>
      </c>
      <c r="AD727" s="50">
        <f>ROUND(IF(AQ727="7",BH727,0),2)</f>
        <v>0</v>
      </c>
      <c r="AE727" s="50">
        <f>ROUND(IF(AQ727="7",BI727,0),2)</f>
        <v>0</v>
      </c>
      <c r="AF727" s="50">
        <f>ROUND(IF(AQ727="2",BH727,0),2)</f>
        <v>0</v>
      </c>
      <c r="AG727" s="50">
        <f>ROUND(IF(AQ727="2",BI727,0),2)</f>
        <v>0</v>
      </c>
      <c r="AH727" s="50">
        <f>ROUND(IF(AQ727="0",BJ727,0),2)</f>
        <v>0</v>
      </c>
      <c r="AI727" s="32" t="s">
        <v>4</v>
      </c>
      <c r="AJ727" s="50">
        <f>IF(AN727=0,J727,0)</f>
        <v>0</v>
      </c>
      <c r="AK727" s="50">
        <f>IF(AN727=12,J727,0)</f>
        <v>0</v>
      </c>
      <c r="AL727" s="50">
        <f>IF(AN727=21,J727,0)</f>
        <v>0</v>
      </c>
      <c r="AN727" s="50">
        <v>21</v>
      </c>
      <c r="AO727" s="50">
        <f>G727*1</f>
        <v>0</v>
      </c>
      <c r="AP727" s="50">
        <f>G727*(1-1)</f>
        <v>0</v>
      </c>
      <c r="AQ727" s="52" t="s">
        <v>158</v>
      </c>
      <c r="AV727" s="50">
        <f>ROUND(AW727+AX727,2)</f>
        <v>0</v>
      </c>
      <c r="AW727" s="50">
        <f>ROUND(F727*AO727,2)</f>
        <v>0</v>
      </c>
      <c r="AX727" s="50">
        <f>ROUND(F727*AP727,2)</f>
        <v>0</v>
      </c>
      <c r="AY727" s="52" t="s">
        <v>1149</v>
      </c>
      <c r="AZ727" s="52" t="s">
        <v>1090</v>
      </c>
      <c r="BA727" s="32" t="s">
        <v>119</v>
      </c>
      <c r="BC727" s="50">
        <f>AW727+AX727</f>
        <v>0</v>
      </c>
      <c r="BD727" s="50">
        <f>G727/(100-BE727)*100</f>
        <v>0</v>
      </c>
      <c r="BE727" s="50">
        <v>0</v>
      </c>
      <c r="BF727" s="50">
        <f>727</f>
        <v>727</v>
      </c>
      <c r="BH727" s="50">
        <f>F727*AO727</f>
        <v>0</v>
      </c>
      <c r="BI727" s="50">
        <f>F727*AP727</f>
        <v>0</v>
      </c>
      <c r="BJ727" s="50">
        <f>F727*G727</f>
        <v>0</v>
      </c>
      <c r="BK727" s="50"/>
      <c r="BL727" s="50">
        <v>764</v>
      </c>
      <c r="BW727" s="50">
        <v>21</v>
      </c>
      <c r="BX727" s="3" t="s">
        <v>1153</v>
      </c>
    </row>
    <row r="728" spans="1:76" ht="14.4" x14ac:dyDescent="0.3">
      <c r="A728" s="53"/>
      <c r="C728" s="54" t="s">
        <v>1154</v>
      </c>
      <c r="D728" s="54" t="s">
        <v>4</v>
      </c>
      <c r="F728" s="55">
        <v>7.32</v>
      </c>
      <c r="K728" s="56"/>
    </row>
    <row r="729" spans="1:76" ht="14.4" x14ac:dyDescent="0.3">
      <c r="A729" s="1" t="s">
        <v>1155</v>
      </c>
      <c r="B729" s="2" t="s">
        <v>1156</v>
      </c>
      <c r="C729" s="75" t="s">
        <v>1157</v>
      </c>
      <c r="D729" s="70"/>
      <c r="E729" s="2" t="s">
        <v>233</v>
      </c>
      <c r="F729" s="50">
        <v>20</v>
      </c>
      <c r="G729" s="50">
        <v>0</v>
      </c>
      <c r="H729" s="50">
        <f>ROUND(F729*AO729,2)</f>
        <v>0</v>
      </c>
      <c r="I729" s="50">
        <f>ROUND(F729*AP729,2)</f>
        <v>0</v>
      </c>
      <c r="J729" s="50">
        <f>ROUND(F729*G729,2)</f>
        <v>0</v>
      </c>
      <c r="K729" s="51" t="s">
        <v>116</v>
      </c>
      <c r="Z729" s="50">
        <f>ROUND(IF(AQ729="5",BJ729,0),2)</f>
        <v>0</v>
      </c>
      <c r="AB729" s="50">
        <f>ROUND(IF(AQ729="1",BH729,0),2)</f>
        <v>0</v>
      </c>
      <c r="AC729" s="50">
        <f>ROUND(IF(AQ729="1",BI729,0),2)</f>
        <v>0</v>
      </c>
      <c r="AD729" s="50">
        <f>ROUND(IF(AQ729="7",BH729,0),2)</f>
        <v>0</v>
      </c>
      <c r="AE729" s="50">
        <f>ROUND(IF(AQ729="7",BI729,0),2)</f>
        <v>0</v>
      </c>
      <c r="AF729" s="50">
        <f>ROUND(IF(AQ729="2",BH729,0),2)</f>
        <v>0</v>
      </c>
      <c r="AG729" s="50">
        <f>ROUND(IF(AQ729="2",BI729,0),2)</f>
        <v>0</v>
      </c>
      <c r="AH729" s="50">
        <f>ROUND(IF(AQ729="0",BJ729,0),2)</f>
        <v>0</v>
      </c>
      <c r="AI729" s="32" t="s">
        <v>4</v>
      </c>
      <c r="AJ729" s="50">
        <f>IF(AN729=0,J729,0)</f>
        <v>0</v>
      </c>
      <c r="AK729" s="50">
        <f>IF(AN729=12,J729,0)</f>
        <v>0</v>
      </c>
      <c r="AL729" s="50">
        <f>IF(AN729=21,J729,0)</f>
        <v>0</v>
      </c>
      <c r="AN729" s="50">
        <v>21</v>
      </c>
      <c r="AO729" s="50">
        <f>G729*0.00969268</f>
        <v>0</v>
      </c>
      <c r="AP729" s="50">
        <f>G729*(1-0.00969268)</f>
        <v>0</v>
      </c>
      <c r="AQ729" s="52" t="s">
        <v>158</v>
      </c>
      <c r="AV729" s="50">
        <f>ROUND(AW729+AX729,2)</f>
        <v>0</v>
      </c>
      <c r="AW729" s="50">
        <f>ROUND(F729*AO729,2)</f>
        <v>0</v>
      </c>
      <c r="AX729" s="50">
        <f>ROUND(F729*AP729,2)</f>
        <v>0</v>
      </c>
      <c r="AY729" s="52" t="s">
        <v>1149</v>
      </c>
      <c r="AZ729" s="52" t="s">
        <v>1090</v>
      </c>
      <c r="BA729" s="32" t="s">
        <v>119</v>
      </c>
      <c r="BC729" s="50">
        <f>AW729+AX729</f>
        <v>0</v>
      </c>
      <c r="BD729" s="50">
        <f>G729/(100-BE729)*100</f>
        <v>0</v>
      </c>
      <c r="BE729" s="50">
        <v>0</v>
      </c>
      <c r="BF729" s="50">
        <f>729</f>
        <v>729</v>
      </c>
      <c r="BH729" s="50">
        <f>F729*AO729</f>
        <v>0</v>
      </c>
      <c r="BI729" s="50">
        <f>F729*AP729</f>
        <v>0</v>
      </c>
      <c r="BJ729" s="50">
        <f>F729*G729</f>
        <v>0</v>
      </c>
      <c r="BK729" s="50"/>
      <c r="BL729" s="50">
        <v>764</v>
      </c>
      <c r="BW729" s="50">
        <v>21</v>
      </c>
      <c r="BX729" s="3" t="s">
        <v>1157</v>
      </c>
    </row>
    <row r="730" spans="1:76" ht="14.4" x14ac:dyDescent="0.3">
      <c r="A730" s="53"/>
      <c r="C730" s="54" t="s">
        <v>239</v>
      </c>
      <c r="D730" s="54" t="s">
        <v>4</v>
      </c>
      <c r="F730" s="55">
        <v>20</v>
      </c>
      <c r="K730" s="56"/>
    </row>
    <row r="731" spans="1:76" ht="14.4" x14ac:dyDescent="0.3">
      <c r="A731" s="1" t="s">
        <v>1158</v>
      </c>
      <c r="B731" s="2" t="s">
        <v>1159</v>
      </c>
      <c r="C731" s="75" t="s">
        <v>1160</v>
      </c>
      <c r="D731" s="70"/>
      <c r="E731" s="2" t="s">
        <v>233</v>
      </c>
      <c r="F731" s="50">
        <v>20</v>
      </c>
      <c r="G731" s="50">
        <v>0</v>
      </c>
      <c r="H731" s="50">
        <f>ROUND(F731*AO731,2)</f>
        <v>0</v>
      </c>
      <c r="I731" s="50">
        <f>ROUND(F731*AP731,2)</f>
        <v>0</v>
      </c>
      <c r="J731" s="50">
        <f>ROUND(F731*G731,2)</f>
        <v>0</v>
      </c>
      <c r="K731" s="51" t="s">
        <v>116</v>
      </c>
      <c r="Z731" s="50">
        <f>ROUND(IF(AQ731="5",BJ731,0),2)</f>
        <v>0</v>
      </c>
      <c r="AB731" s="50">
        <f>ROUND(IF(AQ731="1",BH731,0),2)</f>
        <v>0</v>
      </c>
      <c r="AC731" s="50">
        <f>ROUND(IF(AQ731="1",BI731,0),2)</f>
        <v>0</v>
      </c>
      <c r="AD731" s="50">
        <f>ROUND(IF(AQ731="7",BH731,0),2)</f>
        <v>0</v>
      </c>
      <c r="AE731" s="50">
        <f>ROUND(IF(AQ731="7",BI731,0),2)</f>
        <v>0</v>
      </c>
      <c r="AF731" s="50">
        <f>ROUND(IF(AQ731="2",BH731,0),2)</f>
        <v>0</v>
      </c>
      <c r="AG731" s="50">
        <f>ROUND(IF(AQ731="2",BI731,0),2)</f>
        <v>0</v>
      </c>
      <c r="AH731" s="50">
        <f>ROUND(IF(AQ731="0",BJ731,0),2)</f>
        <v>0</v>
      </c>
      <c r="AI731" s="32" t="s">
        <v>4</v>
      </c>
      <c r="AJ731" s="50">
        <f>IF(AN731=0,J731,0)</f>
        <v>0</v>
      </c>
      <c r="AK731" s="50">
        <f>IF(AN731=12,J731,0)</f>
        <v>0</v>
      </c>
      <c r="AL731" s="50">
        <f>IF(AN731=21,J731,0)</f>
        <v>0</v>
      </c>
      <c r="AN731" s="50">
        <v>21</v>
      </c>
      <c r="AO731" s="50">
        <f>G731*1</f>
        <v>0</v>
      </c>
      <c r="AP731" s="50">
        <f>G731*(1-1)</f>
        <v>0</v>
      </c>
      <c r="AQ731" s="52" t="s">
        <v>158</v>
      </c>
      <c r="AV731" s="50">
        <f>ROUND(AW731+AX731,2)</f>
        <v>0</v>
      </c>
      <c r="AW731" s="50">
        <f>ROUND(F731*AO731,2)</f>
        <v>0</v>
      </c>
      <c r="AX731" s="50">
        <f>ROUND(F731*AP731,2)</f>
        <v>0</v>
      </c>
      <c r="AY731" s="52" t="s">
        <v>1149</v>
      </c>
      <c r="AZ731" s="52" t="s">
        <v>1090</v>
      </c>
      <c r="BA731" s="32" t="s">
        <v>119</v>
      </c>
      <c r="BC731" s="50">
        <f>AW731+AX731</f>
        <v>0</v>
      </c>
      <c r="BD731" s="50">
        <f>G731/(100-BE731)*100</f>
        <v>0</v>
      </c>
      <c r="BE731" s="50">
        <v>0</v>
      </c>
      <c r="BF731" s="50">
        <f>731</f>
        <v>731</v>
      </c>
      <c r="BH731" s="50">
        <f>F731*AO731</f>
        <v>0</v>
      </c>
      <c r="BI731" s="50">
        <f>F731*AP731</f>
        <v>0</v>
      </c>
      <c r="BJ731" s="50">
        <f>F731*G731</f>
        <v>0</v>
      </c>
      <c r="BK731" s="50"/>
      <c r="BL731" s="50">
        <v>764</v>
      </c>
      <c r="BW731" s="50">
        <v>21</v>
      </c>
      <c r="BX731" s="3" t="s">
        <v>1160</v>
      </c>
    </row>
    <row r="732" spans="1:76" ht="14.4" x14ac:dyDescent="0.3">
      <c r="A732" s="53"/>
      <c r="C732" s="54" t="s">
        <v>239</v>
      </c>
      <c r="D732" s="54" t="s">
        <v>4</v>
      </c>
      <c r="F732" s="55">
        <v>20</v>
      </c>
      <c r="K732" s="56"/>
    </row>
    <row r="733" spans="1:76" ht="14.4" x14ac:dyDescent="0.3">
      <c r="A733" s="1" t="s">
        <v>1161</v>
      </c>
      <c r="B733" s="2" t="s">
        <v>1162</v>
      </c>
      <c r="C733" s="75" t="s">
        <v>1163</v>
      </c>
      <c r="D733" s="70"/>
      <c r="E733" s="2" t="s">
        <v>233</v>
      </c>
      <c r="F733" s="50">
        <v>28.8</v>
      </c>
      <c r="G733" s="50">
        <v>0</v>
      </c>
      <c r="H733" s="50">
        <f>ROUND(F733*AO733,2)</f>
        <v>0</v>
      </c>
      <c r="I733" s="50">
        <f>ROUND(F733*AP733,2)</f>
        <v>0</v>
      </c>
      <c r="J733" s="50">
        <f>ROUND(F733*G733,2)</f>
        <v>0</v>
      </c>
      <c r="K733" s="51" t="s">
        <v>116</v>
      </c>
      <c r="Z733" s="50">
        <f>ROUND(IF(AQ733="5",BJ733,0),2)</f>
        <v>0</v>
      </c>
      <c r="AB733" s="50">
        <f>ROUND(IF(AQ733="1",BH733,0),2)</f>
        <v>0</v>
      </c>
      <c r="AC733" s="50">
        <f>ROUND(IF(AQ733="1",BI733,0),2)</f>
        <v>0</v>
      </c>
      <c r="AD733" s="50">
        <f>ROUND(IF(AQ733="7",BH733,0),2)</f>
        <v>0</v>
      </c>
      <c r="AE733" s="50">
        <f>ROUND(IF(AQ733="7",BI733,0),2)</f>
        <v>0</v>
      </c>
      <c r="AF733" s="50">
        <f>ROUND(IF(AQ733="2",BH733,0),2)</f>
        <v>0</v>
      </c>
      <c r="AG733" s="50">
        <f>ROUND(IF(AQ733="2",BI733,0),2)</f>
        <v>0</v>
      </c>
      <c r="AH733" s="50">
        <f>ROUND(IF(AQ733="0",BJ733,0),2)</f>
        <v>0</v>
      </c>
      <c r="AI733" s="32" t="s">
        <v>4</v>
      </c>
      <c r="AJ733" s="50">
        <f>IF(AN733=0,J733,0)</f>
        <v>0</v>
      </c>
      <c r="AK733" s="50">
        <f>IF(AN733=12,J733,0)</f>
        <v>0</v>
      </c>
      <c r="AL733" s="50">
        <f>IF(AN733=21,J733,0)</f>
        <v>0</v>
      </c>
      <c r="AN733" s="50">
        <v>21</v>
      </c>
      <c r="AO733" s="50">
        <f>G733*0</f>
        <v>0</v>
      </c>
      <c r="AP733" s="50">
        <f>G733*(1-0)</f>
        <v>0</v>
      </c>
      <c r="AQ733" s="52" t="s">
        <v>158</v>
      </c>
      <c r="AV733" s="50">
        <f>ROUND(AW733+AX733,2)</f>
        <v>0</v>
      </c>
      <c r="AW733" s="50">
        <f>ROUND(F733*AO733,2)</f>
        <v>0</v>
      </c>
      <c r="AX733" s="50">
        <f>ROUND(F733*AP733,2)</f>
        <v>0</v>
      </c>
      <c r="AY733" s="52" t="s">
        <v>1149</v>
      </c>
      <c r="AZ733" s="52" t="s">
        <v>1090</v>
      </c>
      <c r="BA733" s="32" t="s">
        <v>119</v>
      </c>
      <c r="BC733" s="50">
        <f>AW733+AX733</f>
        <v>0</v>
      </c>
      <c r="BD733" s="50">
        <f>G733/(100-BE733)*100</f>
        <v>0</v>
      </c>
      <c r="BE733" s="50">
        <v>0</v>
      </c>
      <c r="BF733" s="50">
        <f>733</f>
        <v>733</v>
      </c>
      <c r="BH733" s="50">
        <f>F733*AO733</f>
        <v>0</v>
      </c>
      <c r="BI733" s="50">
        <f>F733*AP733</f>
        <v>0</v>
      </c>
      <c r="BJ733" s="50">
        <f>F733*G733</f>
        <v>0</v>
      </c>
      <c r="BK733" s="50"/>
      <c r="BL733" s="50">
        <v>764</v>
      </c>
      <c r="BW733" s="50">
        <v>21</v>
      </c>
      <c r="BX733" s="3" t="s">
        <v>1163</v>
      </c>
    </row>
    <row r="734" spans="1:76" ht="14.4" x14ac:dyDescent="0.3">
      <c r="A734" s="53"/>
      <c r="C734" s="54" t="s">
        <v>1164</v>
      </c>
      <c r="D734" s="54" t="s">
        <v>4</v>
      </c>
      <c r="F734" s="55">
        <v>28.8</v>
      </c>
      <c r="K734" s="56"/>
    </row>
    <row r="735" spans="1:76" ht="14.4" x14ac:dyDescent="0.3">
      <c r="A735" s="1" t="s">
        <v>1165</v>
      </c>
      <c r="B735" s="2" t="s">
        <v>1166</v>
      </c>
      <c r="C735" s="75" t="s">
        <v>1167</v>
      </c>
      <c r="D735" s="70"/>
      <c r="E735" s="2" t="s">
        <v>233</v>
      </c>
      <c r="F735" s="50">
        <v>28.8</v>
      </c>
      <c r="G735" s="50">
        <v>0</v>
      </c>
      <c r="H735" s="50">
        <f>ROUND(F735*AO735,2)</f>
        <v>0</v>
      </c>
      <c r="I735" s="50">
        <f>ROUND(F735*AP735,2)</f>
        <v>0</v>
      </c>
      <c r="J735" s="50">
        <f>ROUND(F735*G735,2)</f>
        <v>0</v>
      </c>
      <c r="K735" s="51" t="s">
        <v>116</v>
      </c>
      <c r="Z735" s="50">
        <f>ROUND(IF(AQ735="5",BJ735,0),2)</f>
        <v>0</v>
      </c>
      <c r="AB735" s="50">
        <f>ROUND(IF(AQ735="1",BH735,0),2)</f>
        <v>0</v>
      </c>
      <c r="AC735" s="50">
        <f>ROUND(IF(AQ735="1",BI735,0),2)</f>
        <v>0</v>
      </c>
      <c r="AD735" s="50">
        <f>ROUND(IF(AQ735="7",BH735,0),2)</f>
        <v>0</v>
      </c>
      <c r="AE735" s="50">
        <f>ROUND(IF(AQ735="7",BI735,0),2)</f>
        <v>0</v>
      </c>
      <c r="AF735" s="50">
        <f>ROUND(IF(AQ735="2",BH735,0),2)</f>
        <v>0</v>
      </c>
      <c r="AG735" s="50">
        <f>ROUND(IF(AQ735="2",BI735,0),2)</f>
        <v>0</v>
      </c>
      <c r="AH735" s="50">
        <f>ROUND(IF(AQ735="0",BJ735,0),2)</f>
        <v>0</v>
      </c>
      <c r="AI735" s="32" t="s">
        <v>4</v>
      </c>
      <c r="AJ735" s="50">
        <f>IF(AN735=0,J735,0)</f>
        <v>0</v>
      </c>
      <c r="AK735" s="50">
        <f>IF(AN735=12,J735,0)</f>
        <v>0</v>
      </c>
      <c r="AL735" s="50">
        <f>IF(AN735=21,J735,0)</f>
        <v>0</v>
      </c>
      <c r="AN735" s="50">
        <v>21</v>
      </c>
      <c r="AO735" s="50">
        <f>G735*1</f>
        <v>0</v>
      </c>
      <c r="AP735" s="50">
        <f>G735*(1-1)</f>
        <v>0</v>
      </c>
      <c r="AQ735" s="52" t="s">
        <v>158</v>
      </c>
      <c r="AV735" s="50">
        <f>ROUND(AW735+AX735,2)</f>
        <v>0</v>
      </c>
      <c r="AW735" s="50">
        <f>ROUND(F735*AO735,2)</f>
        <v>0</v>
      </c>
      <c r="AX735" s="50">
        <f>ROUND(F735*AP735,2)</f>
        <v>0</v>
      </c>
      <c r="AY735" s="52" t="s">
        <v>1149</v>
      </c>
      <c r="AZ735" s="52" t="s">
        <v>1090</v>
      </c>
      <c r="BA735" s="32" t="s">
        <v>119</v>
      </c>
      <c r="BC735" s="50">
        <f>AW735+AX735</f>
        <v>0</v>
      </c>
      <c r="BD735" s="50">
        <f>G735/(100-BE735)*100</f>
        <v>0</v>
      </c>
      <c r="BE735" s="50">
        <v>0</v>
      </c>
      <c r="BF735" s="50">
        <f>735</f>
        <v>735</v>
      </c>
      <c r="BH735" s="50">
        <f>F735*AO735</f>
        <v>0</v>
      </c>
      <c r="BI735" s="50">
        <f>F735*AP735</f>
        <v>0</v>
      </c>
      <c r="BJ735" s="50">
        <f>F735*G735</f>
        <v>0</v>
      </c>
      <c r="BK735" s="50"/>
      <c r="BL735" s="50">
        <v>764</v>
      </c>
      <c r="BW735" s="50">
        <v>21</v>
      </c>
      <c r="BX735" s="3" t="s">
        <v>1167</v>
      </c>
    </row>
    <row r="736" spans="1:76" ht="14.4" x14ac:dyDescent="0.3">
      <c r="A736" s="53"/>
      <c r="C736" s="54" t="s">
        <v>1164</v>
      </c>
      <c r="D736" s="54" t="s">
        <v>4</v>
      </c>
      <c r="F736" s="55">
        <v>28.8</v>
      </c>
      <c r="K736" s="56"/>
    </row>
    <row r="737" spans="1:76" ht="14.4" x14ac:dyDescent="0.3">
      <c r="A737" s="1" t="s">
        <v>1168</v>
      </c>
      <c r="B737" s="2" t="s">
        <v>1169</v>
      </c>
      <c r="C737" s="75" t="s">
        <v>1170</v>
      </c>
      <c r="D737" s="70"/>
      <c r="E737" s="2" t="s">
        <v>278</v>
      </c>
      <c r="F737" s="50">
        <v>35</v>
      </c>
      <c r="G737" s="50">
        <v>0</v>
      </c>
      <c r="H737" s="50">
        <f>ROUND(F737*AO737,2)</f>
        <v>0</v>
      </c>
      <c r="I737" s="50">
        <f>ROUND(F737*AP737,2)</f>
        <v>0</v>
      </c>
      <c r="J737" s="50">
        <f>ROUND(F737*G737,2)</f>
        <v>0</v>
      </c>
      <c r="K737" s="51" t="s">
        <v>116</v>
      </c>
      <c r="Z737" s="50">
        <f>ROUND(IF(AQ737="5",BJ737,0),2)</f>
        <v>0</v>
      </c>
      <c r="AB737" s="50">
        <f>ROUND(IF(AQ737="1",BH737,0),2)</f>
        <v>0</v>
      </c>
      <c r="AC737" s="50">
        <f>ROUND(IF(AQ737="1",BI737,0),2)</f>
        <v>0</v>
      </c>
      <c r="AD737" s="50">
        <f>ROUND(IF(AQ737="7",BH737,0),2)</f>
        <v>0</v>
      </c>
      <c r="AE737" s="50">
        <f>ROUND(IF(AQ737="7",BI737,0),2)</f>
        <v>0</v>
      </c>
      <c r="AF737" s="50">
        <f>ROUND(IF(AQ737="2",BH737,0),2)</f>
        <v>0</v>
      </c>
      <c r="AG737" s="50">
        <f>ROUND(IF(AQ737="2",BI737,0),2)</f>
        <v>0</v>
      </c>
      <c r="AH737" s="50">
        <f>ROUND(IF(AQ737="0",BJ737,0),2)</f>
        <v>0</v>
      </c>
      <c r="AI737" s="32" t="s">
        <v>4</v>
      </c>
      <c r="AJ737" s="50">
        <f>IF(AN737=0,J737,0)</f>
        <v>0</v>
      </c>
      <c r="AK737" s="50">
        <f>IF(AN737=12,J737,0)</f>
        <v>0</v>
      </c>
      <c r="AL737" s="50">
        <f>IF(AN737=21,J737,0)</f>
        <v>0</v>
      </c>
      <c r="AN737" s="50">
        <v>21</v>
      </c>
      <c r="AO737" s="50">
        <f>G737*1</f>
        <v>0</v>
      </c>
      <c r="AP737" s="50">
        <f>G737*(1-1)</f>
        <v>0</v>
      </c>
      <c r="AQ737" s="52" t="s">
        <v>158</v>
      </c>
      <c r="AV737" s="50">
        <f>ROUND(AW737+AX737,2)</f>
        <v>0</v>
      </c>
      <c r="AW737" s="50">
        <f>ROUND(F737*AO737,2)</f>
        <v>0</v>
      </c>
      <c r="AX737" s="50">
        <f>ROUND(F737*AP737,2)</f>
        <v>0</v>
      </c>
      <c r="AY737" s="52" t="s">
        <v>1149</v>
      </c>
      <c r="AZ737" s="52" t="s">
        <v>1090</v>
      </c>
      <c r="BA737" s="32" t="s">
        <v>119</v>
      </c>
      <c r="BC737" s="50">
        <f>AW737+AX737</f>
        <v>0</v>
      </c>
      <c r="BD737" s="50">
        <f>G737/(100-BE737)*100</f>
        <v>0</v>
      </c>
      <c r="BE737" s="50">
        <v>0</v>
      </c>
      <c r="BF737" s="50">
        <f>737</f>
        <v>737</v>
      </c>
      <c r="BH737" s="50">
        <f>F737*AO737</f>
        <v>0</v>
      </c>
      <c r="BI737" s="50">
        <f>F737*AP737</f>
        <v>0</v>
      </c>
      <c r="BJ737" s="50">
        <f>F737*G737</f>
        <v>0</v>
      </c>
      <c r="BK737" s="50"/>
      <c r="BL737" s="50">
        <v>764</v>
      </c>
      <c r="BW737" s="50">
        <v>21</v>
      </c>
      <c r="BX737" s="3" t="s">
        <v>1170</v>
      </c>
    </row>
    <row r="738" spans="1:76" ht="14.4" x14ac:dyDescent="0.3">
      <c r="A738" s="53"/>
      <c r="C738" s="54" t="s">
        <v>299</v>
      </c>
      <c r="D738" s="54" t="s">
        <v>4</v>
      </c>
      <c r="F738" s="55">
        <v>35</v>
      </c>
      <c r="K738" s="56"/>
    </row>
    <row r="739" spans="1:76" ht="14.4" x14ac:dyDescent="0.3">
      <c r="A739" s="1" t="s">
        <v>1171</v>
      </c>
      <c r="B739" s="2" t="s">
        <v>1172</v>
      </c>
      <c r="C739" s="75" t="s">
        <v>1173</v>
      </c>
      <c r="D739" s="70"/>
      <c r="E739" s="2" t="s">
        <v>278</v>
      </c>
      <c r="F739" s="50">
        <v>5</v>
      </c>
      <c r="G739" s="50">
        <v>0</v>
      </c>
      <c r="H739" s="50">
        <f>ROUND(F739*AO739,2)</f>
        <v>0</v>
      </c>
      <c r="I739" s="50">
        <f>ROUND(F739*AP739,2)</f>
        <v>0</v>
      </c>
      <c r="J739" s="50">
        <f>ROUND(F739*G739,2)</f>
        <v>0</v>
      </c>
      <c r="K739" s="51" t="s">
        <v>116</v>
      </c>
      <c r="Z739" s="50">
        <f>ROUND(IF(AQ739="5",BJ739,0),2)</f>
        <v>0</v>
      </c>
      <c r="AB739" s="50">
        <f>ROUND(IF(AQ739="1",BH739,0),2)</f>
        <v>0</v>
      </c>
      <c r="AC739" s="50">
        <f>ROUND(IF(AQ739="1",BI739,0),2)</f>
        <v>0</v>
      </c>
      <c r="AD739" s="50">
        <f>ROUND(IF(AQ739="7",BH739,0),2)</f>
        <v>0</v>
      </c>
      <c r="AE739" s="50">
        <f>ROUND(IF(AQ739="7",BI739,0),2)</f>
        <v>0</v>
      </c>
      <c r="AF739" s="50">
        <f>ROUND(IF(AQ739="2",BH739,0),2)</f>
        <v>0</v>
      </c>
      <c r="AG739" s="50">
        <f>ROUND(IF(AQ739="2",BI739,0),2)</f>
        <v>0</v>
      </c>
      <c r="AH739" s="50">
        <f>ROUND(IF(AQ739="0",BJ739,0),2)</f>
        <v>0</v>
      </c>
      <c r="AI739" s="32" t="s">
        <v>4</v>
      </c>
      <c r="AJ739" s="50">
        <f>IF(AN739=0,J739,0)</f>
        <v>0</v>
      </c>
      <c r="AK739" s="50">
        <f>IF(AN739=12,J739,0)</f>
        <v>0</v>
      </c>
      <c r="AL739" s="50">
        <f>IF(AN739=21,J739,0)</f>
        <v>0</v>
      </c>
      <c r="AN739" s="50">
        <v>21</v>
      </c>
      <c r="AO739" s="50">
        <f>G739*0</f>
        <v>0</v>
      </c>
      <c r="AP739" s="50">
        <f>G739*(1-0)</f>
        <v>0</v>
      </c>
      <c r="AQ739" s="52" t="s">
        <v>158</v>
      </c>
      <c r="AV739" s="50">
        <f>ROUND(AW739+AX739,2)</f>
        <v>0</v>
      </c>
      <c r="AW739" s="50">
        <f>ROUND(F739*AO739,2)</f>
        <v>0</v>
      </c>
      <c r="AX739" s="50">
        <f>ROUND(F739*AP739,2)</f>
        <v>0</v>
      </c>
      <c r="AY739" s="52" t="s">
        <v>1149</v>
      </c>
      <c r="AZ739" s="52" t="s">
        <v>1090</v>
      </c>
      <c r="BA739" s="32" t="s">
        <v>119</v>
      </c>
      <c r="BC739" s="50">
        <f>AW739+AX739</f>
        <v>0</v>
      </c>
      <c r="BD739" s="50">
        <f>G739/(100-BE739)*100</f>
        <v>0</v>
      </c>
      <c r="BE739" s="50">
        <v>0</v>
      </c>
      <c r="BF739" s="50">
        <f>739</f>
        <v>739</v>
      </c>
      <c r="BH739" s="50">
        <f>F739*AO739</f>
        <v>0</v>
      </c>
      <c r="BI739" s="50">
        <f>F739*AP739</f>
        <v>0</v>
      </c>
      <c r="BJ739" s="50">
        <f>F739*G739</f>
        <v>0</v>
      </c>
      <c r="BK739" s="50"/>
      <c r="BL739" s="50">
        <v>764</v>
      </c>
      <c r="BW739" s="50">
        <v>21</v>
      </c>
      <c r="BX739" s="3" t="s">
        <v>1173</v>
      </c>
    </row>
    <row r="740" spans="1:76" ht="14.4" x14ac:dyDescent="0.3">
      <c r="A740" s="53"/>
      <c r="C740" s="54" t="s">
        <v>147</v>
      </c>
      <c r="D740" s="54" t="s">
        <v>4</v>
      </c>
      <c r="F740" s="55">
        <v>5</v>
      </c>
      <c r="K740" s="56"/>
    </row>
    <row r="741" spans="1:76" ht="14.4" x14ac:dyDescent="0.3">
      <c r="A741" s="1" t="s">
        <v>1174</v>
      </c>
      <c r="B741" s="2" t="s">
        <v>1175</v>
      </c>
      <c r="C741" s="75" t="s">
        <v>1176</v>
      </c>
      <c r="D741" s="70"/>
      <c r="E741" s="2" t="s">
        <v>278</v>
      </c>
      <c r="F741" s="50">
        <v>5</v>
      </c>
      <c r="G741" s="50">
        <v>0</v>
      </c>
      <c r="H741" s="50">
        <f>ROUND(F741*AO741,2)</f>
        <v>0</v>
      </c>
      <c r="I741" s="50">
        <f>ROUND(F741*AP741,2)</f>
        <v>0</v>
      </c>
      <c r="J741" s="50">
        <f>ROUND(F741*G741,2)</f>
        <v>0</v>
      </c>
      <c r="K741" s="51" t="s">
        <v>116</v>
      </c>
      <c r="Z741" s="50">
        <f>ROUND(IF(AQ741="5",BJ741,0),2)</f>
        <v>0</v>
      </c>
      <c r="AB741" s="50">
        <f>ROUND(IF(AQ741="1",BH741,0),2)</f>
        <v>0</v>
      </c>
      <c r="AC741" s="50">
        <f>ROUND(IF(AQ741="1",BI741,0),2)</f>
        <v>0</v>
      </c>
      <c r="AD741" s="50">
        <f>ROUND(IF(AQ741="7",BH741,0),2)</f>
        <v>0</v>
      </c>
      <c r="AE741" s="50">
        <f>ROUND(IF(AQ741="7",BI741,0),2)</f>
        <v>0</v>
      </c>
      <c r="AF741" s="50">
        <f>ROUND(IF(AQ741="2",BH741,0),2)</f>
        <v>0</v>
      </c>
      <c r="AG741" s="50">
        <f>ROUND(IF(AQ741="2",BI741,0),2)</f>
        <v>0</v>
      </c>
      <c r="AH741" s="50">
        <f>ROUND(IF(AQ741="0",BJ741,0),2)</f>
        <v>0</v>
      </c>
      <c r="AI741" s="32" t="s">
        <v>4</v>
      </c>
      <c r="AJ741" s="50">
        <f>IF(AN741=0,J741,0)</f>
        <v>0</v>
      </c>
      <c r="AK741" s="50">
        <f>IF(AN741=12,J741,0)</f>
        <v>0</v>
      </c>
      <c r="AL741" s="50">
        <f>IF(AN741=21,J741,0)</f>
        <v>0</v>
      </c>
      <c r="AN741" s="50">
        <v>21</v>
      </c>
      <c r="AO741" s="50">
        <f>G741*1</f>
        <v>0</v>
      </c>
      <c r="AP741" s="50">
        <f>G741*(1-1)</f>
        <v>0</v>
      </c>
      <c r="AQ741" s="52" t="s">
        <v>158</v>
      </c>
      <c r="AV741" s="50">
        <f>ROUND(AW741+AX741,2)</f>
        <v>0</v>
      </c>
      <c r="AW741" s="50">
        <f>ROUND(F741*AO741,2)</f>
        <v>0</v>
      </c>
      <c r="AX741" s="50">
        <f>ROUND(F741*AP741,2)</f>
        <v>0</v>
      </c>
      <c r="AY741" s="52" t="s">
        <v>1149</v>
      </c>
      <c r="AZ741" s="52" t="s">
        <v>1090</v>
      </c>
      <c r="BA741" s="32" t="s">
        <v>119</v>
      </c>
      <c r="BC741" s="50">
        <f>AW741+AX741</f>
        <v>0</v>
      </c>
      <c r="BD741" s="50">
        <f>G741/(100-BE741)*100</f>
        <v>0</v>
      </c>
      <c r="BE741" s="50">
        <v>0</v>
      </c>
      <c r="BF741" s="50">
        <f>741</f>
        <v>741</v>
      </c>
      <c r="BH741" s="50">
        <f>F741*AO741</f>
        <v>0</v>
      </c>
      <c r="BI741" s="50">
        <f>F741*AP741</f>
        <v>0</v>
      </c>
      <c r="BJ741" s="50">
        <f>F741*G741</f>
        <v>0</v>
      </c>
      <c r="BK741" s="50"/>
      <c r="BL741" s="50">
        <v>764</v>
      </c>
      <c r="BW741" s="50">
        <v>21</v>
      </c>
      <c r="BX741" s="3" t="s">
        <v>1176</v>
      </c>
    </row>
    <row r="742" spans="1:76" ht="14.4" x14ac:dyDescent="0.3">
      <c r="A742" s="53"/>
      <c r="C742" s="54" t="s">
        <v>147</v>
      </c>
      <c r="D742" s="54" t="s">
        <v>4</v>
      </c>
      <c r="F742" s="55">
        <v>5</v>
      </c>
      <c r="K742" s="56"/>
    </row>
    <row r="743" spans="1:76" ht="14.4" x14ac:dyDescent="0.3">
      <c r="A743" s="1" t="s">
        <v>1177</v>
      </c>
      <c r="B743" s="2" t="s">
        <v>1178</v>
      </c>
      <c r="C743" s="75" t="s">
        <v>1179</v>
      </c>
      <c r="D743" s="70"/>
      <c r="E743" s="2" t="s">
        <v>233</v>
      </c>
      <c r="F743" s="50">
        <v>57.6</v>
      </c>
      <c r="G743" s="50">
        <v>0</v>
      </c>
      <c r="H743" s="50">
        <f>ROUND(F743*AO743,2)</f>
        <v>0</v>
      </c>
      <c r="I743" s="50">
        <f>ROUND(F743*AP743,2)</f>
        <v>0</v>
      </c>
      <c r="J743" s="50">
        <f>ROUND(F743*G743,2)</f>
        <v>0</v>
      </c>
      <c r="K743" s="51" t="s">
        <v>116</v>
      </c>
      <c r="Z743" s="50">
        <f>ROUND(IF(AQ743="5",BJ743,0),2)</f>
        <v>0</v>
      </c>
      <c r="AB743" s="50">
        <f>ROUND(IF(AQ743="1",BH743,0),2)</f>
        <v>0</v>
      </c>
      <c r="AC743" s="50">
        <f>ROUND(IF(AQ743="1",BI743,0),2)</f>
        <v>0</v>
      </c>
      <c r="AD743" s="50">
        <f>ROUND(IF(AQ743="7",BH743,0),2)</f>
        <v>0</v>
      </c>
      <c r="AE743" s="50">
        <f>ROUND(IF(AQ743="7",BI743,0),2)</f>
        <v>0</v>
      </c>
      <c r="AF743" s="50">
        <f>ROUND(IF(AQ743="2",BH743,0),2)</f>
        <v>0</v>
      </c>
      <c r="AG743" s="50">
        <f>ROUND(IF(AQ743="2",BI743,0),2)</f>
        <v>0</v>
      </c>
      <c r="AH743" s="50">
        <f>ROUND(IF(AQ743="0",BJ743,0),2)</f>
        <v>0</v>
      </c>
      <c r="AI743" s="32" t="s">
        <v>4</v>
      </c>
      <c r="AJ743" s="50">
        <f>IF(AN743=0,J743,0)</f>
        <v>0</v>
      </c>
      <c r="AK743" s="50">
        <f>IF(AN743=12,J743,0)</f>
        <v>0</v>
      </c>
      <c r="AL743" s="50">
        <f>IF(AN743=21,J743,0)</f>
        <v>0</v>
      </c>
      <c r="AN743" s="50">
        <v>21</v>
      </c>
      <c r="AO743" s="50">
        <f>G743*0</f>
        <v>0</v>
      </c>
      <c r="AP743" s="50">
        <f>G743*(1-0)</f>
        <v>0</v>
      </c>
      <c r="AQ743" s="52" t="s">
        <v>158</v>
      </c>
      <c r="AV743" s="50">
        <f>ROUND(AW743+AX743,2)</f>
        <v>0</v>
      </c>
      <c r="AW743" s="50">
        <f>ROUND(F743*AO743,2)</f>
        <v>0</v>
      </c>
      <c r="AX743" s="50">
        <f>ROUND(F743*AP743,2)</f>
        <v>0</v>
      </c>
      <c r="AY743" s="52" t="s">
        <v>1149</v>
      </c>
      <c r="AZ743" s="52" t="s">
        <v>1090</v>
      </c>
      <c r="BA743" s="32" t="s">
        <v>119</v>
      </c>
      <c r="BC743" s="50">
        <f>AW743+AX743</f>
        <v>0</v>
      </c>
      <c r="BD743" s="50">
        <f>G743/(100-BE743)*100</f>
        <v>0</v>
      </c>
      <c r="BE743" s="50">
        <v>0</v>
      </c>
      <c r="BF743" s="50">
        <f>743</f>
        <v>743</v>
      </c>
      <c r="BH743" s="50">
        <f>F743*AO743</f>
        <v>0</v>
      </c>
      <c r="BI743" s="50">
        <f>F743*AP743</f>
        <v>0</v>
      </c>
      <c r="BJ743" s="50">
        <f>F743*G743</f>
        <v>0</v>
      </c>
      <c r="BK743" s="50"/>
      <c r="BL743" s="50">
        <v>764</v>
      </c>
      <c r="BW743" s="50">
        <v>21</v>
      </c>
      <c r="BX743" s="3" t="s">
        <v>1179</v>
      </c>
    </row>
    <row r="744" spans="1:76" ht="14.4" x14ac:dyDescent="0.3">
      <c r="A744" s="53"/>
      <c r="C744" s="54" t="s">
        <v>1164</v>
      </c>
      <c r="D744" s="54" t="s">
        <v>4</v>
      </c>
      <c r="F744" s="55">
        <v>28.8</v>
      </c>
      <c r="K744" s="56"/>
    </row>
    <row r="745" spans="1:76" ht="14.4" x14ac:dyDescent="0.3">
      <c r="A745" s="53"/>
      <c r="C745" s="54" t="s">
        <v>1180</v>
      </c>
      <c r="D745" s="54" t="s">
        <v>4</v>
      </c>
      <c r="F745" s="55">
        <v>28.8</v>
      </c>
      <c r="K745" s="56"/>
    </row>
    <row r="746" spans="1:76" ht="14.4" x14ac:dyDescent="0.3">
      <c r="A746" s="1" t="s">
        <v>1181</v>
      </c>
      <c r="B746" s="2" t="s">
        <v>1182</v>
      </c>
      <c r="C746" s="75" t="s">
        <v>1183</v>
      </c>
      <c r="D746" s="70"/>
      <c r="E746" s="2" t="s">
        <v>278</v>
      </c>
      <c r="F746" s="50">
        <v>28.8</v>
      </c>
      <c r="G746" s="50">
        <v>0</v>
      </c>
      <c r="H746" s="50">
        <f>ROUND(F746*AO746,2)</f>
        <v>0</v>
      </c>
      <c r="I746" s="50">
        <f>ROUND(F746*AP746,2)</f>
        <v>0</v>
      </c>
      <c r="J746" s="50">
        <f>ROUND(F746*G746,2)</f>
        <v>0</v>
      </c>
      <c r="K746" s="51" t="s">
        <v>116</v>
      </c>
      <c r="Z746" s="50">
        <f>ROUND(IF(AQ746="5",BJ746,0),2)</f>
        <v>0</v>
      </c>
      <c r="AB746" s="50">
        <f>ROUND(IF(AQ746="1",BH746,0),2)</f>
        <v>0</v>
      </c>
      <c r="AC746" s="50">
        <f>ROUND(IF(AQ746="1",BI746,0),2)</f>
        <v>0</v>
      </c>
      <c r="AD746" s="50">
        <f>ROUND(IF(AQ746="7",BH746,0),2)</f>
        <v>0</v>
      </c>
      <c r="AE746" s="50">
        <f>ROUND(IF(AQ746="7",BI746,0),2)</f>
        <v>0</v>
      </c>
      <c r="AF746" s="50">
        <f>ROUND(IF(AQ746="2",BH746,0),2)</f>
        <v>0</v>
      </c>
      <c r="AG746" s="50">
        <f>ROUND(IF(AQ746="2",BI746,0),2)</f>
        <v>0</v>
      </c>
      <c r="AH746" s="50">
        <f>ROUND(IF(AQ746="0",BJ746,0),2)</f>
        <v>0</v>
      </c>
      <c r="AI746" s="32" t="s">
        <v>4</v>
      </c>
      <c r="AJ746" s="50">
        <f>IF(AN746=0,J746,0)</f>
        <v>0</v>
      </c>
      <c r="AK746" s="50">
        <f>IF(AN746=12,J746,0)</f>
        <v>0</v>
      </c>
      <c r="AL746" s="50">
        <f>IF(AN746=21,J746,0)</f>
        <v>0</v>
      </c>
      <c r="AN746" s="50">
        <v>21</v>
      </c>
      <c r="AO746" s="50">
        <f>G746*1</f>
        <v>0</v>
      </c>
      <c r="AP746" s="50">
        <f>G746*(1-1)</f>
        <v>0</v>
      </c>
      <c r="AQ746" s="52" t="s">
        <v>158</v>
      </c>
      <c r="AV746" s="50">
        <f>ROUND(AW746+AX746,2)</f>
        <v>0</v>
      </c>
      <c r="AW746" s="50">
        <f>ROUND(F746*AO746,2)</f>
        <v>0</v>
      </c>
      <c r="AX746" s="50">
        <f>ROUND(F746*AP746,2)</f>
        <v>0</v>
      </c>
      <c r="AY746" s="52" t="s">
        <v>1149</v>
      </c>
      <c r="AZ746" s="52" t="s">
        <v>1090</v>
      </c>
      <c r="BA746" s="32" t="s">
        <v>119</v>
      </c>
      <c r="BC746" s="50">
        <f>AW746+AX746</f>
        <v>0</v>
      </c>
      <c r="BD746" s="50">
        <f>G746/(100-BE746)*100</f>
        <v>0</v>
      </c>
      <c r="BE746" s="50">
        <v>0</v>
      </c>
      <c r="BF746" s="50">
        <f>746</f>
        <v>746</v>
      </c>
      <c r="BH746" s="50">
        <f>F746*AO746</f>
        <v>0</v>
      </c>
      <c r="BI746" s="50">
        <f>F746*AP746</f>
        <v>0</v>
      </c>
      <c r="BJ746" s="50">
        <f>F746*G746</f>
        <v>0</v>
      </c>
      <c r="BK746" s="50"/>
      <c r="BL746" s="50">
        <v>764</v>
      </c>
      <c r="BW746" s="50">
        <v>21</v>
      </c>
      <c r="BX746" s="3" t="s">
        <v>1183</v>
      </c>
    </row>
    <row r="747" spans="1:76" ht="14.4" x14ac:dyDescent="0.3">
      <c r="A747" s="53"/>
      <c r="C747" s="54" t="s">
        <v>1164</v>
      </c>
      <c r="D747" s="54" t="s">
        <v>4</v>
      </c>
      <c r="F747" s="55">
        <v>28.8</v>
      </c>
      <c r="K747" s="56"/>
    </row>
    <row r="748" spans="1:76" ht="26.4" x14ac:dyDescent="0.3">
      <c r="A748" s="1" t="s">
        <v>1184</v>
      </c>
      <c r="B748" s="2" t="s">
        <v>1185</v>
      </c>
      <c r="C748" s="75" t="s">
        <v>1186</v>
      </c>
      <c r="D748" s="70"/>
      <c r="E748" s="2" t="s">
        <v>233</v>
      </c>
      <c r="F748" s="50">
        <v>12.05</v>
      </c>
      <c r="G748" s="50">
        <v>0</v>
      </c>
      <c r="H748" s="50">
        <f>ROUND(F748*AO748,2)</f>
        <v>0</v>
      </c>
      <c r="I748" s="50">
        <f>ROUND(F748*AP748,2)</f>
        <v>0</v>
      </c>
      <c r="J748" s="50">
        <f>ROUND(F748*G748,2)</f>
        <v>0</v>
      </c>
      <c r="K748" s="51" t="s">
        <v>116</v>
      </c>
      <c r="Z748" s="50">
        <f>ROUND(IF(AQ748="5",BJ748,0),2)</f>
        <v>0</v>
      </c>
      <c r="AB748" s="50">
        <f>ROUND(IF(AQ748="1",BH748,0),2)</f>
        <v>0</v>
      </c>
      <c r="AC748" s="50">
        <f>ROUND(IF(AQ748="1",BI748,0),2)</f>
        <v>0</v>
      </c>
      <c r="AD748" s="50">
        <f>ROUND(IF(AQ748="7",BH748,0),2)</f>
        <v>0</v>
      </c>
      <c r="AE748" s="50">
        <f>ROUND(IF(AQ748="7",BI748,0),2)</f>
        <v>0</v>
      </c>
      <c r="AF748" s="50">
        <f>ROUND(IF(AQ748="2",BH748,0),2)</f>
        <v>0</v>
      </c>
      <c r="AG748" s="50">
        <f>ROUND(IF(AQ748="2",BI748,0),2)</f>
        <v>0</v>
      </c>
      <c r="AH748" s="50">
        <f>ROUND(IF(AQ748="0",BJ748,0),2)</f>
        <v>0</v>
      </c>
      <c r="AI748" s="32" t="s">
        <v>4</v>
      </c>
      <c r="AJ748" s="50">
        <f>IF(AN748=0,J748,0)</f>
        <v>0</v>
      </c>
      <c r="AK748" s="50">
        <f>IF(AN748=12,J748,0)</f>
        <v>0</v>
      </c>
      <c r="AL748" s="50">
        <f>IF(AN748=21,J748,0)</f>
        <v>0</v>
      </c>
      <c r="AN748" s="50">
        <v>21</v>
      </c>
      <c r="AO748" s="50">
        <f>G748*0.213344281</f>
        <v>0</v>
      </c>
      <c r="AP748" s="50">
        <f>G748*(1-0.213344281)</f>
        <v>0</v>
      </c>
      <c r="AQ748" s="52" t="s">
        <v>158</v>
      </c>
      <c r="AV748" s="50">
        <f>ROUND(AW748+AX748,2)</f>
        <v>0</v>
      </c>
      <c r="AW748" s="50">
        <f>ROUND(F748*AO748,2)</f>
        <v>0</v>
      </c>
      <c r="AX748" s="50">
        <f>ROUND(F748*AP748,2)</f>
        <v>0</v>
      </c>
      <c r="AY748" s="52" t="s">
        <v>1149</v>
      </c>
      <c r="AZ748" s="52" t="s">
        <v>1090</v>
      </c>
      <c r="BA748" s="32" t="s">
        <v>119</v>
      </c>
      <c r="BC748" s="50">
        <f>AW748+AX748</f>
        <v>0</v>
      </c>
      <c r="BD748" s="50">
        <f>G748/(100-BE748)*100</f>
        <v>0</v>
      </c>
      <c r="BE748" s="50">
        <v>0</v>
      </c>
      <c r="BF748" s="50">
        <f>748</f>
        <v>748</v>
      </c>
      <c r="BH748" s="50">
        <f>F748*AO748</f>
        <v>0</v>
      </c>
      <c r="BI748" s="50">
        <f>F748*AP748</f>
        <v>0</v>
      </c>
      <c r="BJ748" s="50">
        <f>F748*G748</f>
        <v>0</v>
      </c>
      <c r="BK748" s="50"/>
      <c r="BL748" s="50">
        <v>764</v>
      </c>
      <c r="BW748" s="50">
        <v>21</v>
      </c>
      <c r="BX748" s="3" t="s">
        <v>1186</v>
      </c>
    </row>
    <row r="749" spans="1:76" ht="14.4" x14ac:dyDescent="0.3">
      <c r="A749" s="53"/>
      <c r="C749" s="54" t="s">
        <v>1187</v>
      </c>
      <c r="D749" s="54" t="s">
        <v>4</v>
      </c>
      <c r="F749" s="55">
        <v>12.05</v>
      </c>
      <c r="K749" s="56"/>
    </row>
    <row r="750" spans="1:76" ht="14.4" x14ac:dyDescent="0.3">
      <c r="A750" s="1" t="s">
        <v>1188</v>
      </c>
      <c r="B750" s="2" t="s">
        <v>1152</v>
      </c>
      <c r="C750" s="75" t="s">
        <v>1153</v>
      </c>
      <c r="D750" s="70"/>
      <c r="E750" s="2" t="s">
        <v>216</v>
      </c>
      <c r="F750" s="50">
        <v>3.58</v>
      </c>
      <c r="G750" s="50">
        <v>0</v>
      </c>
      <c r="H750" s="50">
        <f>ROUND(F750*AO750,2)</f>
        <v>0</v>
      </c>
      <c r="I750" s="50">
        <f>ROUND(F750*AP750,2)</f>
        <v>0</v>
      </c>
      <c r="J750" s="50">
        <f>ROUND(F750*G750,2)</f>
        <v>0</v>
      </c>
      <c r="K750" s="51" t="s">
        <v>116</v>
      </c>
      <c r="Z750" s="50">
        <f>ROUND(IF(AQ750="5",BJ750,0),2)</f>
        <v>0</v>
      </c>
      <c r="AB750" s="50">
        <f>ROUND(IF(AQ750="1",BH750,0),2)</f>
        <v>0</v>
      </c>
      <c r="AC750" s="50">
        <f>ROUND(IF(AQ750="1",BI750,0),2)</f>
        <v>0</v>
      </c>
      <c r="AD750" s="50">
        <f>ROUND(IF(AQ750="7",BH750,0),2)</f>
        <v>0</v>
      </c>
      <c r="AE750" s="50">
        <f>ROUND(IF(AQ750="7",BI750,0),2)</f>
        <v>0</v>
      </c>
      <c r="AF750" s="50">
        <f>ROUND(IF(AQ750="2",BH750,0),2)</f>
        <v>0</v>
      </c>
      <c r="AG750" s="50">
        <f>ROUND(IF(AQ750="2",BI750,0),2)</f>
        <v>0</v>
      </c>
      <c r="AH750" s="50">
        <f>ROUND(IF(AQ750="0",BJ750,0),2)</f>
        <v>0</v>
      </c>
      <c r="AI750" s="32" t="s">
        <v>4</v>
      </c>
      <c r="AJ750" s="50">
        <f>IF(AN750=0,J750,0)</f>
        <v>0</v>
      </c>
      <c r="AK750" s="50">
        <f>IF(AN750=12,J750,0)</f>
        <v>0</v>
      </c>
      <c r="AL750" s="50">
        <f>IF(AN750=21,J750,0)</f>
        <v>0</v>
      </c>
      <c r="AN750" s="50">
        <v>21</v>
      </c>
      <c r="AO750" s="50">
        <f>G750*1</f>
        <v>0</v>
      </c>
      <c r="AP750" s="50">
        <f>G750*(1-1)</f>
        <v>0</v>
      </c>
      <c r="AQ750" s="52" t="s">
        <v>158</v>
      </c>
      <c r="AV750" s="50">
        <f>ROUND(AW750+AX750,2)</f>
        <v>0</v>
      </c>
      <c r="AW750" s="50">
        <f>ROUND(F750*AO750,2)</f>
        <v>0</v>
      </c>
      <c r="AX750" s="50">
        <f>ROUND(F750*AP750,2)</f>
        <v>0</v>
      </c>
      <c r="AY750" s="52" t="s">
        <v>1149</v>
      </c>
      <c r="AZ750" s="52" t="s">
        <v>1090</v>
      </c>
      <c r="BA750" s="32" t="s">
        <v>119</v>
      </c>
      <c r="BC750" s="50">
        <f>AW750+AX750</f>
        <v>0</v>
      </c>
      <c r="BD750" s="50">
        <f>G750/(100-BE750)*100</f>
        <v>0</v>
      </c>
      <c r="BE750" s="50">
        <v>0</v>
      </c>
      <c r="BF750" s="50">
        <f>750</f>
        <v>750</v>
      </c>
      <c r="BH750" s="50">
        <f>F750*AO750</f>
        <v>0</v>
      </c>
      <c r="BI750" s="50">
        <f>F750*AP750</f>
        <v>0</v>
      </c>
      <c r="BJ750" s="50">
        <f>F750*G750</f>
        <v>0</v>
      </c>
      <c r="BK750" s="50"/>
      <c r="BL750" s="50">
        <v>764</v>
      </c>
      <c r="BW750" s="50">
        <v>21</v>
      </c>
      <c r="BX750" s="3" t="s">
        <v>1153</v>
      </c>
    </row>
    <row r="751" spans="1:76" ht="14.4" x14ac:dyDescent="0.3">
      <c r="A751" s="53"/>
      <c r="C751" s="54" t="s">
        <v>1189</v>
      </c>
      <c r="D751" s="54" t="s">
        <v>4</v>
      </c>
      <c r="F751" s="55">
        <v>3.58</v>
      </c>
      <c r="K751" s="56"/>
    </row>
    <row r="752" spans="1:76" ht="14.4" x14ac:dyDescent="0.3">
      <c r="A752" s="1" t="s">
        <v>1190</v>
      </c>
      <c r="B752" s="2" t="s">
        <v>1191</v>
      </c>
      <c r="C752" s="75" t="s">
        <v>1192</v>
      </c>
      <c r="D752" s="70"/>
      <c r="E752" s="2" t="s">
        <v>173</v>
      </c>
      <c r="F752" s="50">
        <v>0.2296</v>
      </c>
      <c r="G752" s="50">
        <v>0</v>
      </c>
      <c r="H752" s="50">
        <f>ROUND(F752*AO752,2)</f>
        <v>0</v>
      </c>
      <c r="I752" s="50">
        <f>ROUND(F752*AP752,2)</f>
        <v>0</v>
      </c>
      <c r="J752" s="50">
        <f>ROUND(F752*G752,2)</f>
        <v>0</v>
      </c>
      <c r="K752" s="51" t="s">
        <v>116</v>
      </c>
      <c r="Z752" s="50">
        <f>ROUND(IF(AQ752="5",BJ752,0),2)</f>
        <v>0</v>
      </c>
      <c r="AB752" s="50">
        <f>ROUND(IF(AQ752="1",BH752,0),2)</f>
        <v>0</v>
      </c>
      <c r="AC752" s="50">
        <f>ROUND(IF(AQ752="1",BI752,0),2)</f>
        <v>0</v>
      </c>
      <c r="AD752" s="50">
        <f>ROUND(IF(AQ752="7",BH752,0),2)</f>
        <v>0</v>
      </c>
      <c r="AE752" s="50">
        <f>ROUND(IF(AQ752="7",BI752,0),2)</f>
        <v>0</v>
      </c>
      <c r="AF752" s="50">
        <f>ROUND(IF(AQ752="2",BH752,0),2)</f>
        <v>0</v>
      </c>
      <c r="AG752" s="50">
        <f>ROUND(IF(AQ752="2",BI752,0),2)</f>
        <v>0</v>
      </c>
      <c r="AH752" s="50">
        <f>ROUND(IF(AQ752="0",BJ752,0),2)</f>
        <v>0</v>
      </c>
      <c r="AI752" s="32" t="s">
        <v>4</v>
      </c>
      <c r="AJ752" s="50">
        <f>IF(AN752=0,J752,0)</f>
        <v>0</v>
      </c>
      <c r="AK752" s="50">
        <f>IF(AN752=12,J752,0)</f>
        <v>0</v>
      </c>
      <c r="AL752" s="50">
        <f>IF(AN752=21,J752,0)</f>
        <v>0</v>
      </c>
      <c r="AN752" s="50">
        <v>21</v>
      </c>
      <c r="AO752" s="50">
        <f>G752*0</f>
        <v>0</v>
      </c>
      <c r="AP752" s="50">
        <f>G752*(1-0)</f>
        <v>0</v>
      </c>
      <c r="AQ752" s="52" t="s">
        <v>147</v>
      </c>
      <c r="AV752" s="50">
        <f>ROUND(AW752+AX752,2)</f>
        <v>0</v>
      </c>
      <c r="AW752" s="50">
        <f>ROUND(F752*AO752,2)</f>
        <v>0</v>
      </c>
      <c r="AX752" s="50">
        <f>ROUND(F752*AP752,2)</f>
        <v>0</v>
      </c>
      <c r="AY752" s="52" t="s">
        <v>1149</v>
      </c>
      <c r="AZ752" s="52" t="s">
        <v>1090</v>
      </c>
      <c r="BA752" s="32" t="s">
        <v>119</v>
      </c>
      <c r="BC752" s="50">
        <f>AW752+AX752</f>
        <v>0</v>
      </c>
      <c r="BD752" s="50">
        <f>G752/(100-BE752)*100</f>
        <v>0</v>
      </c>
      <c r="BE752" s="50">
        <v>0</v>
      </c>
      <c r="BF752" s="50">
        <f>752</f>
        <v>752</v>
      </c>
      <c r="BH752" s="50">
        <f>F752*AO752</f>
        <v>0</v>
      </c>
      <c r="BI752" s="50">
        <f>F752*AP752</f>
        <v>0</v>
      </c>
      <c r="BJ752" s="50">
        <f>F752*G752</f>
        <v>0</v>
      </c>
      <c r="BK752" s="50"/>
      <c r="BL752" s="50">
        <v>764</v>
      </c>
      <c r="BW752" s="50">
        <v>21</v>
      </c>
      <c r="BX752" s="3" t="s">
        <v>1192</v>
      </c>
    </row>
    <row r="753" spans="1:76" ht="14.4" x14ac:dyDescent="0.3">
      <c r="A753" s="46" t="s">
        <v>4</v>
      </c>
      <c r="B753" s="47" t="s">
        <v>1193</v>
      </c>
      <c r="C753" s="148" t="s">
        <v>1194</v>
      </c>
      <c r="D753" s="149"/>
      <c r="E753" s="48" t="s">
        <v>74</v>
      </c>
      <c r="F753" s="48" t="s">
        <v>74</v>
      </c>
      <c r="G753" s="48" t="s">
        <v>74</v>
      </c>
      <c r="H753" s="26">
        <f>SUM(H754:H771)</f>
        <v>0</v>
      </c>
      <c r="I753" s="26">
        <f>SUM(I754:I771)</f>
        <v>0</v>
      </c>
      <c r="J753" s="26">
        <f>SUM(J754:J771)</f>
        <v>0</v>
      </c>
      <c r="K753" s="49" t="s">
        <v>4</v>
      </c>
      <c r="AI753" s="32" t="s">
        <v>4</v>
      </c>
      <c r="AS753" s="26">
        <f>SUM(AJ754:AJ771)</f>
        <v>0</v>
      </c>
      <c r="AT753" s="26">
        <f>SUM(AK754:AK771)</f>
        <v>0</v>
      </c>
      <c r="AU753" s="26">
        <f>SUM(AL754:AL771)</f>
        <v>0</v>
      </c>
    </row>
    <row r="754" spans="1:76" ht="14.4" x14ac:dyDescent="0.3">
      <c r="A754" s="1" t="s">
        <v>1195</v>
      </c>
      <c r="B754" s="2" t="s">
        <v>1196</v>
      </c>
      <c r="C754" s="75" t="s">
        <v>1197</v>
      </c>
      <c r="D754" s="70"/>
      <c r="E754" s="2" t="s">
        <v>216</v>
      </c>
      <c r="F754" s="50">
        <v>162.58799999999999</v>
      </c>
      <c r="G754" s="50">
        <v>0</v>
      </c>
      <c r="H754" s="50">
        <f>ROUND(F754*AO754,2)</f>
        <v>0</v>
      </c>
      <c r="I754" s="50">
        <f>ROUND(F754*AP754,2)</f>
        <v>0</v>
      </c>
      <c r="J754" s="50">
        <f>ROUND(F754*G754,2)</f>
        <v>0</v>
      </c>
      <c r="K754" s="51" t="s">
        <v>116</v>
      </c>
      <c r="Z754" s="50">
        <f>ROUND(IF(AQ754="5",BJ754,0),2)</f>
        <v>0</v>
      </c>
      <c r="AB754" s="50">
        <f>ROUND(IF(AQ754="1",BH754,0),2)</f>
        <v>0</v>
      </c>
      <c r="AC754" s="50">
        <f>ROUND(IF(AQ754="1",BI754,0),2)</f>
        <v>0</v>
      </c>
      <c r="AD754" s="50">
        <f>ROUND(IF(AQ754="7",BH754,0),2)</f>
        <v>0</v>
      </c>
      <c r="AE754" s="50">
        <f>ROUND(IF(AQ754="7",BI754,0),2)</f>
        <v>0</v>
      </c>
      <c r="AF754" s="50">
        <f>ROUND(IF(AQ754="2",BH754,0),2)</f>
        <v>0</v>
      </c>
      <c r="AG754" s="50">
        <f>ROUND(IF(AQ754="2",BI754,0),2)</f>
        <v>0</v>
      </c>
      <c r="AH754" s="50">
        <f>ROUND(IF(AQ754="0",BJ754,0),2)</f>
        <v>0</v>
      </c>
      <c r="AI754" s="32" t="s">
        <v>4</v>
      </c>
      <c r="AJ754" s="50">
        <f>IF(AN754=0,J754,0)</f>
        <v>0</v>
      </c>
      <c r="AK754" s="50">
        <f>IF(AN754=12,J754,0)</f>
        <v>0</v>
      </c>
      <c r="AL754" s="50">
        <f>IF(AN754=21,J754,0)</f>
        <v>0</v>
      </c>
      <c r="AN754" s="50">
        <v>21</v>
      </c>
      <c r="AO754" s="50">
        <f>G754*0.811438373</f>
        <v>0</v>
      </c>
      <c r="AP754" s="50">
        <f>G754*(1-0.811438373)</f>
        <v>0</v>
      </c>
      <c r="AQ754" s="52" t="s">
        <v>158</v>
      </c>
      <c r="AV754" s="50">
        <f>ROUND(AW754+AX754,2)</f>
        <v>0</v>
      </c>
      <c r="AW754" s="50">
        <f>ROUND(F754*AO754,2)</f>
        <v>0</v>
      </c>
      <c r="AX754" s="50">
        <f>ROUND(F754*AP754,2)</f>
        <v>0</v>
      </c>
      <c r="AY754" s="52" t="s">
        <v>1198</v>
      </c>
      <c r="AZ754" s="52" t="s">
        <v>1090</v>
      </c>
      <c r="BA754" s="32" t="s">
        <v>119</v>
      </c>
      <c r="BC754" s="50">
        <f>AW754+AX754</f>
        <v>0</v>
      </c>
      <c r="BD754" s="50">
        <f>G754/(100-BE754)*100</f>
        <v>0</v>
      </c>
      <c r="BE754" s="50">
        <v>0</v>
      </c>
      <c r="BF754" s="50">
        <f>754</f>
        <v>754</v>
      </c>
      <c r="BH754" s="50">
        <f>F754*AO754</f>
        <v>0</v>
      </c>
      <c r="BI754" s="50">
        <f>F754*AP754</f>
        <v>0</v>
      </c>
      <c r="BJ754" s="50">
        <f>F754*G754</f>
        <v>0</v>
      </c>
      <c r="BK754" s="50"/>
      <c r="BL754" s="50">
        <v>765</v>
      </c>
      <c r="BW754" s="50">
        <v>21</v>
      </c>
      <c r="BX754" s="3" t="s">
        <v>1197</v>
      </c>
    </row>
    <row r="755" spans="1:76" ht="14.4" x14ac:dyDescent="0.3">
      <c r="A755" s="53"/>
      <c r="C755" s="54" t="s">
        <v>1139</v>
      </c>
      <c r="D755" s="54" t="s">
        <v>4</v>
      </c>
      <c r="F755" s="55">
        <v>162.58799999999999</v>
      </c>
      <c r="K755" s="56"/>
    </row>
    <row r="756" spans="1:76" ht="14.4" x14ac:dyDescent="0.3">
      <c r="A756" s="1" t="s">
        <v>1199</v>
      </c>
      <c r="B756" s="2" t="s">
        <v>1200</v>
      </c>
      <c r="C756" s="75" t="s">
        <v>1201</v>
      </c>
      <c r="D756" s="70"/>
      <c r="E756" s="2" t="s">
        <v>216</v>
      </c>
      <c r="F756" s="50">
        <v>132.768</v>
      </c>
      <c r="G756" s="50">
        <v>0</v>
      </c>
      <c r="H756" s="50">
        <f>ROUND(F756*AO756,2)</f>
        <v>0</v>
      </c>
      <c r="I756" s="50">
        <f>ROUND(F756*AP756,2)</f>
        <v>0</v>
      </c>
      <c r="J756" s="50">
        <f>ROUND(F756*G756,2)</f>
        <v>0</v>
      </c>
      <c r="K756" s="51" t="s">
        <v>116</v>
      </c>
      <c r="Z756" s="50">
        <f>ROUND(IF(AQ756="5",BJ756,0),2)</f>
        <v>0</v>
      </c>
      <c r="AB756" s="50">
        <f>ROUND(IF(AQ756="1",BH756,0),2)</f>
        <v>0</v>
      </c>
      <c r="AC756" s="50">
        <f>ROUND(IF(AQ756="1",BI756,0),2)</f>
        <v>0</v>
      </c>
      <c r="AD756" s="50">
        <f>ROUND(IF(AQ756="7",BH756,0),2)</f>
        <v>0</v>
      </c>
      <c r="AE756" s="50">
        <f>ROUND(IF(AQ756="7",BI756,0),2)</f>
        <v>0</v>
      </c>
      <c r="AF756" s="50">
        <f>ROUND(IF(AQ756="2",BH756,0),2)</f>
        <v>0</v>
      </c>
      <c r="AG756" s="50">
        <f>ROUND(IF(AQ756="2",BI756,0),2)</f>
        <v>0</v>
      </c>
      <c r="AH756" s="50">
        <f>ROUND(IF(AQ756="0",BJ756,0),2)</f>
        <v>0</v>
      </c>
      <c r="AI756" s="32" t="s">
        <v>4</v>
      </c>
      <c r="AJ756" s="50">
        <f>IF(AN756=0,J756,0)</f>
        <v>0</v>
      </c>
      <c r="AK756" s="50">
        <f>IF(AN756=12,J756,0)</f>
        <v>0</v>
      </c>
      <c r="AL756" s="50">
        <f>IF(AN756=21,J756,0)</f>
        <v>0</v>
      </c>
      <c r="AN756" s="50">
        <v>21</v>
      </c>
      <c r="AO756" s="50">
        <f>G756*0.729851583</f>
        <v>0</v>
      </c>
      <c r="AP756" s="50">
        <f>G756*(1-0.729851583)</f>
        <v>0</v>
      </c>
      <c r="AQ756" s="52" t="s">
        <v>158</v>
      </c>
      <c r="AV756" s="50">
        <f>ROUND(AW756+AX756,2)</f>
        <v>0</v>
      </c>
      <c r="AW756" s="50">
        <f>ROUND(F756*AO756,2)</f>
        <v>0</v>
      </c>
      <c r="AX756" s="50">
        <f>ROUND(F756*AP756,2)</f>
        <v>0</v>
      </c>
      <c r="AY756" s="52" t="s">
        <v>1198</v>
      </c>
      <c r="AZ756" s="52" t="s">
        <v>1090</v>
      </c>
      <c r="BA756" s="32" t="s">
        <v>119</v>
      </c>
      <c r="BC756" s="50">
        <f>AW756+AX756</f>
        <v>0</v>
      </c>
      <c r="BD756" s="50">
        <f>G756/(100-BE756)*100</f>
        <v>0</v>
      </c>
      <c r="BE756" s="50">
        <v>0</v>
      </c>
      <c r="BF756" s="50">
        <f>756</f>
        <v>756</v>
      </c>
      <c r="BH756" s="50">
        <f>F756*AO756</f>
        <v>0</v>
      </c>
      <c r="BI756" s="50">
        <f>F756*AP756</f>
        <v>0</v>
      </c>
      <c r="BJ756" s="50">
        <f>F756*G756</f>
        <v>0</v>
      </c>
      <c r="BK756" s="50"/>
      <c r="BL756" s="50">
        <v>765</v>
      </c>
      <c r="BW756" s="50">
        <v>21</v>
      </c>
      <c r="BX756" s="3" t="s">
        <v>1201</v>
      </c>
    </row>
    <row r="757" spans="1:76" ht="14.4" x14ac:dyDescent="0.3">
      <c r="A757" s="53"/>
      <c r="C757" s="54" t="s">
        <v>1202</v>
      </c>
      <c r="D757" s="54" t="s">
        <v>4</v>
      </c>
      <c r="F757" s="55">
        <v>138.24</v>
      </c>
      <c r="K757" s="56"/>
    </row>
    <row r="758" spans="1:76" ht="14.4" x14ac:dyDescent="0.3">
      <c r="A758" s="53"/>
      <c r="C758" s="54" t="s">
        <v>480</v>
      </c>
      <c r="D758" s="54" t="s">
        <v>4</v>
      </c>
      <c r="F758" s="55">
        <v>-5.4720000000000004</v>
      </c>
      <c r="K758" s="56"/>
    </row>
    <row r="759" spans="1:76" ht="14.4" x14ac:dyDescent="0.3">
      <c r="A759" s="1" t="s">
        <v>1203</v>
      </c>
      <c r="B759" s="2" t="s">
        <v>1204</v>
      </c>
      <c r="C759" s="75" t="s">
        <v>1205</v>
      </c>
      <c r="D759" s="70"/>
      <c r="E759" s="2" t="s">
        <v>233</v>
      </c>
      <c r="F759" s="50">
        <v>19.2</v>
      </c>
      <c r="G759" s="50">
        <v>0</v>
      </c>
      <c r="H759" s="50">
        <f>ROUND(F759*AO759,2)</f>
        <v>0</v>
      </c>
      <c r="I759" s="50">
        <f>ROUND(F759*AP759,2)</f>
        <v>0</v>
      </c>
      <c r="J759" s="50">
        <f>ROUND(F759*G759,2)</f>
        <v>0</v>
      </c>
      <c r="K759" s="51" t="s">
        <v>116</v>
      </c>
      <c r="Z759" s="50">
        <f>ROUND(IF(AQ759="5",BJ759,0),2)</f>
        <v>0</v>
      </c>
      <c r="AB759" s="50">
        <f>ROUND(IF(AQ759="1",BH759,0),2)</f>
        <v>0</v>
      </c>
      <c r="AC759" s="50">
        <f>ROUND(IF(AQ759="1",BI759,0),2)</f>
        <v>0</v>
      </c>
      <c r="AD759" s="50">
        <f>ROUND(IF(AQ759="7",BH759,0),2)</f>
        <v>0</v>
      </c>
      <c r="AE759" s="50">
        <f>ROUND(IF(AQ759="7",BI759,0),2)</f>
        <v>0</v>
      </c>
      <c r="AF759" s="50">
        <f>ROUND(IF(AQ759="2",BH759,0),2)</f>
        <v>0</v>
      </c>
      <c r="AG759" s="50">
        <f>ROUND(IF(AQ759="2",BI759,0),2)</f>
        <v>0</v>
      </c>
      <c r="AH759" s="50">
        <f>ROUND(IF(AQ759="0",BJ759,0),2)</f>
        <v>0</v>
      </c>
      <c r="AI759" s="32" t="s">
        <v>4</v>
      </c>
      <c r="AJ759" s="50">
        <f>IF(AN759=0,J759,0)</f>
        <v>0</v>
      </c>
      <c r="AK759" s="50">
        <f>IF(AN759=12,J759,0)</f>
        <v>0</v>
      </c>
      <c r="AL759" s="50">
        <f>IF(AN759=21,J759,0)</f>
        <v>0</v>
      </c>
      <c r="AN759" s="50">
        <v>21</v>
      </c>
      <c r="AO759" s="50">
        <f>G759*0.791180612</f>
        <v>0</v>
      </c>
      <c r="AP759" s="50">
        <f>G759*(1-0.791180612)</f>
        <v>0</v>
      </c>
      <c r="AQ759" s="52" t="s">
        <v>158</v>
      </c>
      <c r="AV759" s="50">
        <f>ROUND(AW759+AX759,2)</f>
        <v>0</v>
      </c>
      <c r="AW759" s="50">
        <f>ROUND(F759*AO759,2)</f>
        <v>0</v>
      </c>
      <c r="AX759" s="50">
        <f>ROUND(F759*AP759,2)</f>
        <v>0</v>
      </c>
      <c r="AY759" s="52" t="s">
        <v>1198</v>
      </c>
      <c r="AZ759" s="52" t="s">
        <v>1090</v>
      </c>
      <c r="BA759" s="32" t="s">
        <v>119</v>
      </c>
      <c r="BC759" s="50">
        <f>AW759+AX759</f>
        <v>0</v>
      </c>
      <c r="BD759" s="50">
        <f>G759/(100-BE759)*100</f>
        <v>0</v>
      </c>
      <c r="BE759" s="50">
        <v>0</v>
      </c>
      <c r="BF759" s="50">
        <f>759</f>
        <v>759</v>
      </c>
      <c r="BH759" s="50">
        <f>F759*AO759</f>
        <v>0</v>
      </c>
      <c r="BI759" s="50">
        <f>F759*AP759</f>
        <v>0</v>
      </c>
      <c r="BJ759" s="50">
        <f>F759*G759</f>
        <v>0</v>
      </c>
      <c r="BK759" s="50"/>
      <c r="BL759" s="50">
        <v>765</v>
      </c>
      <c r="BW759" s="50">
        <v>21</v>
      </c>
      <c r="BX759" s="3" t="s">
        <v>1205</v>
      </c>
    </row>
    <row r="760" spans="1:76" ht="14.4" x14ac:dyDescent="0.3">
      <c r="A760" s="53"/>
      <c r="C760" s="54" t="s">
        <v>1206</v>
      </c>
      <c r="D760" s="54" t="s">
        <v>4</v>
      </c>
      <c r="F760" s="55">
        <v>19.2</v>
      </c>
      <c r="K760" s="56"/>
    </row>
    <row r="761" spans="1:76" ht="14.4" x14ac:dyDescent="0.3">
      <c r="A761" s="1" t="s">
        <v>1207</v>
      </c>
      <c r="B761" s="2" t="s">
        <v>1208</v>
      </c>
      <c r="C761" s="75" t="s">
        <v>1209</v>
      </c>
      <c r="D761" s="70"/>
      <c r="E761" s="2" t="s">
        <v>233</v>
      </c>
      <c r="F761" s="50">
        <v>14.4</v>
      </c>
      <c r="G761" s="50">
        <v>0</v>
      </c>
      <c r="H761" s="50">
        <f>ROUND(F761*AO761,2)</f>
        <v>0</v>
      </c>
      <c r="I761" s="50">
        <f>ROUND(F761*AP761,2)</f>
        <v>0</v>
      </c>
      <c r="J761" s="50">
        <f>ROUND(F761*G761,2)</f>
        <v>0</v>
      </c>
      <c r="K761" s="51" t="s">
        <v>116</v>
      </c>
      <c r="Z761" s="50">
        <f>ROUND(IF(AQ761="5",BJ761,0),2)</f>
        <v>0</v>
      </c>
      <c r="AB761" s="50">
        <f>ROUND(IF(AQ761="1",BH761,0),2)</f>
        <v>0</v>
      </c>
      <c r="AC761" s="50">
        <f>ROUND(IF(AQ761="1",BI761,0),2)</f>
        <v>0</v>
      </c>
      <c r="AD761" s="50">
        <f>ROUND(IF(AQ761="7",BH761,0),2)</f>
        <v>0</v>
      </c>
      <c r="AE761" s="50">
        <f>ROUND(IF(AQ761="7",BI761,0),2)</f>
        <v>0</v>
      </c>
      <c r="AF761" s="50">
        <f>ROUND(IF(AQ761="2",BH761,0),2)</f>
        <v>0</v>
      </c>
      <c r="AG761" s="50">
        <f>ROUND(IF(AQ761="2",BI761,0),2)</f>
        <v>0</v>
      </c>
      <c r="AH761" s="50">
        <f>ROUND(IF(AQ761="0",BJ761,0),2)</f>
        <v>0</v>
      </c>
      <c r="AI761" s="32" t="s">
        <v>4</v>
      </c>
      <c r="AJ761" s="50">
        <f>IF(AN761=0,J761,0)</f>
        <v>0</v>
      </c>
      <c r="AK761" s="50">
        <f>IF(AN761=12,J761,0)</f>
        <v>0</v>
      </c>
      <c r="AL761" s="50">
        <f>IF(AN761=21,J761,0)</f>
        <v>0</v>
      </c>
      <c r="AN761" s="50">
        <v>21</v>
      </c>
      <c r="AO761" s="50">
        <f>G761*0.792115341</f>
        <v>0</v>
      </c>
      <c r="AP761" s="50">
        <f>G761*(1-0.792115341)</f>
        <v>0</v>
      </c>
      <c r="AQ761" s="52" t="s">
        <v>158</v>
      </c>
      <c r="AV761" s="50">
        <f>ROUND(AW761+AX761,2)</f>
        <v>0</v>
      </c>
      <c r="AW761" s="50">
        <f>ROUND(F761*AO761,2)</f>
        <v>0</v>
      </c>
      <c r="AX761" s="50">
        <f>ROUND(F761*AP761,2)</f>
        <v>0</v>
      </c>
      <c r="AY761" s="52" t="s">
        <v>1198</v>
      </c>
      <c r="AZ761" s="52" t="s">
        <v>1090</v>
      </c>
      <c r="BA761" s="32" t="s">
        <v>119</v>
      </c>
      <c r="BC761" s="50">
        <f>AW761+AX761</f>
        <v>0</v>
      </c>
      <c r="BD761" s="50">
        <f>G761/(100-BE761)*100</f>
        <v>0</v>
      </c>
      <c r="BE761" s="50">
        <v>0</v>
      </c>
      <c r="BF761" s="50">
        <f>761</f>
        <v>761</v>
      </c>
      <c r="BH761" s="50">
        <f>F761*AO761</f>
        <v>0</v>
      </c>
      <c r="BI761" s="50">
        <f>F761*AP761</f>
        <v>0</v>
      </c>
      <c r="BJ761" s="50">
        <f>F761*G761</f>
        <v>0</v>
      </c>
      <c r="BK761" s="50"/>
      <c r="BL761" s="50">
        <v>765</v>
      </c>
      <c r="BW761" s="50">
        <v>21</v>
      </c>
      <c r="BX761" s="3" t="s">
        <v>1209</v>
      </c>
    </row>
    <row r="762" spans="1:76" ht="14.4" x14ac:dyDescent="0.3">
      <c r="A762" s="53"/>
      <c r="C762" s="54" t="s">
        <v>1210</v>
      </c>
      <c r="D762" s="54" t="s">
        <v>4</v>
      </c>
      <c r="F762" s="55">
        <v>14.4</v>
      </c>
      <c r="K762" s="56"/>
    </row>
    <row r="763" spans="1:76" ht="14.4" x14ac:dyDescent="0.3">
      <c r="A763" s="1" t="s">
        <v>1211</v>
      </c>
      <c r="B763" s="2" t="s">
        <v>1212</v>
      </c>
      <c r="C763" s="75" t="s">
        <v>1213</v>
      </c>
      <c r="D763" s="70"/>
      <c r="E763" s="2" t="s">
        <v>278</v>
      </c>
      <c r="F763" s="50">
        <v>1</v>
      </c>
      <c r="G763" s="50">
        <v>0</v>
      </c>
      <c r="H763" s="50">
        <f>ROUND(F763*AO763,2)</f>
        <v>0</v>
      </c>
      <c r="I763" s="50">
        <f>ROUND(F763*AP763,2)</f>
        <v>0</v>
      </c>
      <c r="J763" s="50">
        <f>ROUND(F763*G763,2)</f>
        <v>0</v>
      </c>
      <c r="K763" s="51" t="s">
        <v>116</v>
      </c>
      <c r="Z763" s="50">
        <f>ROUND(IF(AQ763="5",BJ763,0),2)</f>
        <v>0</v>
      </c>
      <c r="AB763" s="50">
        <f>ROUND(IF(AQ763="1",BH763,0),2)</f>
        <v>0</v>
      </c>
      <c r="AC763" s="50">
        <f>ROUND(IF(AQ763="1",BI763,0),2)</f>
        <v>0</v>
      </c>
      <c r="AD763" s="50">
        <f>ROUND(IF(AQ763="7",BH763,0),2)</f>
        <v>0</v>
      </c>
      <c r="AE763" s="50">
        <f>ROUND(IF(AQ763="7",BI763,0),2)</f>
        <v>0</v>
      </c>
      <c r="AF763" s="50">
        <f>ROUND(IF(AQ763="2",BH763,0),2)</f>
        <v>0</v>
      </c>
      <c r="AG763" s="50">
        <f>ROUND(IF(AQ763="2",BI763,0),2)</f>
        <v>0</v>
      </c>
      <c r="AH763" s="50">
        <f>ROUND(IF(AQ763="0",BJ763,0),2)</f>
        <v>0</v>
      </c>
      <c r="AI763" s="32" t="s">
        <v>4</v>
      </c>
      <c r="AJ763" s="50">
        <f>IF(AN763=0,J763,0)</f>
        <v>0</v>
      </c>
      <c r="AK763" s="50">
        <f>IF(AN763=12,J763,0)</f>
        <v>0</v>
      </c>
      <c r="AL763" s="50">
        <f>IF(AN763=21,J763,0)</f>
        <v>0</v>
      </c>
      <c r="AN763" s="50">
        <v>21</v>
      </c>
      <c r="AO763" s="50">
        <f>G763*0.973445743</f>
        <v>0</v>
      </c>
      <c r="AP763" s="50">
        <f>G763*(1-0.973445743)</f>
        <v>0</v>
      </c>
      <c r="AQ763" s="52" t="s">
        <v>158</v>
      </c>
      <c r="AV763" s="50">
        <f>ROUND(AW763+AX763,2)</f>
        <v>0</v>
      </c>
      <c r="AW763" s="50">
        <f>ROUND(F763*AO763,2)</f>
        <v>0</v>
      </c>
      <c r="AX763" s="50">
        <f>ROUND(F763*AP763,2)</f>
        <v>0</v>
      </c>
      <c r="AY763" s="52" t="s">
        <v>1198</v>
      </c>
      <c r="AZ763" s="52" t="s">
        <v>1090</v>
      </c>
      <c r="BA763" s="32" t="s">
        <v>119</v>
      </c>
      <c r="BC763" s="50">
        <f>AW763+AX763</f>
        <v>0</v>
      </c>
      <c r="BD763" s="50">
        <f>G763/(100-BE763)*100</f>
        <v>0</v>
      </c>
      <c r="BE763" s="50">
        <v>0</v>
      </c>
      <c r="BF763" s="50">
        <f>763</f>
        <v>763</v>
      </c>
      <c r="BH763" s="50">
        <f>F763*AO763</f>
        <v>0</v>
      </c>
      <c r="BI763" s="50">
        <f>F763*AP763</f>
        <v>0</v>
      </c>
      <c r="BJ763" s="50">
        <f>F763*G763</f>
        <v>0</v>
      </c>
      <c r="BK763" s="50"/>
      <c r="BL763" s="50">
        <v>765</v>
      </c>
      <c r="BW763" s="50">
        <v>21</v>
      </c>
      <c r="BX763" s="3" t="s">
        <v>1213</v>
      </c>
    </row>
    <row r="764" spans="1:76" ht="14.4" x14ac:dyDescent="0.3">
      <c r="A764" s="53"/>
      <c r="C764" s="54" t="s">
        <v>112</v>
      </c>
      <c r="D764" s="54" t="s">
        <v>4</v>
      </c>
      <c r="F764" s="55">
        <v>1</v>
      </c>
      <c r="K764" s="56"/>
    </row>
    <row r="765" spans="1:76" ht="14.4" x14ac:dyDescent="0.3">
      <c r="A765" s="1" t="s">
        <v>1214</v>
      </c>
      <c r="B765" s="2" t="s">
        <v>1215</v>
      </c>
      <c r="C765" s="75" t="s">
        <v>1216</v>
      </c>
      <c r="D765" s="70"/>
      <c r="E765" s="2" t="s">
        <v>233</v>
      </c>
      <c r="F765" s="50">
        <v>29.4</v>
      </c>
      <c r="G765" s="50">
        <v>0</v>
      </c>
      <c r="H765" s="50">
        <f>ROUND(F765*AO765,2)</f>
        <v>0</v>
      </c>
      <c r="I765" s="50">
        <f>ROUND(F765*AP765,2)</f>
        <v>0</v>
      </c>
      <c r="J765" s="50">
        <f>ROUND(F765*G765,2)</f>
        <v>0</v>
      </c>
      <c r="K765" s="51" t="s">
        <v>116</v>
      </c>
      <c r="Z765" s="50">
        <f>ROUND(IF(AQ765="5",BJ765,0),2)</f>
        <v>0</v>
      </c>
      <c r="AB765" s="50">
        <f>ROUND(IF(AQ765="1",BH765,0),2)</f>
        <v>0</v>
      </c>
      <c r="AC765" s="50">
        <f>ROUND(IF(AQ765="1",BI765,0),2)</f>
        <v>0</v>
      </c>
      <c r="AD765" s="50">
        <f>ROUND(IF(AQ765="7",BH765,0),2)</f>
        <v>0</v>
      </c>
      <c r="AE765" s="50">
        <f>ROUND(IF(AQ765="7",BI765,0),2)</f>
        <v>0</v>
      </c>
      <c r="AF765" s="50">
        <f>ROUND(IF(AQ765="2",BH765,0),2)</f>
        <v>0</v>
      </c>
      <c r="AG765" s="50">
        <f>ROUND(IF(AQ765="2",BI765,0),2)</f>
        <v>0</v>
      </c>
      <c r="AH765" s="50">
        <f>ROUND(IF(AQ765="0",BJ765,0),2)</f>
        <v>0</v>
      </c>
      <c r="AI765" s="32" t="s">
        <v>4</v>
      </c>
      <c r="AJ765" s="50">
        <f>IF(AN765=0,J765,0)</f>
        <v>0</v>
      </c>
      <c r="AK765" s="50">
        <f>IF(AN765=12,J765,0)</f>
        <v>0</v>
      </c>
      <c r="AL765" s="50">
        <f>IF(AN765=21,J765,0)</f>
        <v>0</v>
      </c>
      <c r="AN765" s="50">
        <v>21</v>
      </c>
      <c r="AO765" s="50">
        <f>G765*0.862276265</f>
        <v>0</v>
      </c>
      <c r="AP765" s="50">
        <f>G765*(1-0.862276265)</f>
        <v>0</v>
      </c>
      <c r="AQ765" s="52" t="s">
        <v>158</v>
      </c>
      <c r="AV765" s="50">
        <f>ROUND(AW765+AX765,2)</f>
        <v>0</v>
      </c>
      <c r="AW765" s="50">
        <f>ROUND(F765*AO765,2)</f>
        <v>0</v>
      </c>
      <c r="AX765" s="50">
        <f>ROUND(F765*AP765,2)</f>
        <v>0</v>
      </c>
      <c r="AY765" s="52" t="s">
        <v>1198</v>
      </c>
      <c r="AZ765" s="52" t="s">
        <v>1090</v>
      </c>
      <c r="BA765" s="32" t="s">
        <v>119</v>
      </c>
      <c r="BC765" s="50">
        <f>AW765+AX765</f>
        <v>0</v>
      </c>
      <c r="BD765" s="50">
        <f>G765/(100-BE765)*100</f>
        <v>0</v>
      </c>
      <c r="BE765" s="50">
        <v>0</v>
      </c>
      <c r="BF765" s="50">
        <f>765</f>
        <v>765</v>
      </c>
      <c r="BH765" s="50">
        <f>F765*AO765</f>
        <v>0</v>
      </c>
      <c r="BI765" s="50">
        <f>F765*AP765</f>
        <v>0</v>
      </c>
      <c r="BJ765" s="50">
        <f>F765*G765</f>
        <v>0</v>
      </c>
      <c r="BK765" s="50"/>
      <c r="BL765" s="50">
        <v>765</v>
      </c>
      <c r="BW765" s="50">
        <v>21</v>
      </c>
      <c r="BX765" s="3" t="s">
        <v>1216</v>
      </c>
    </row>
    <row r="766" spans="1:76" ht="14.4" x14ac:dyDescent="0.3">
      <c r="A766" s="53"/>
      <c r="C766" s="54" t="s">
        <v>1217</v>
      </c>
      <c r="D766" s="54" t="s">
        <v>4</v>
      </c>
      <c r="F766" s="55">
        <v>29.4</v>
      </c>
      <c r="K766" s="56"/>
    </row>
    <row r="767" spans="1:76" ht="14.4" x14ac:dyDescent="0.3">
      <c r="A767" s="1" t="s">
        <v>1218</v>
      </c>
      <c r="B767" s="2" t="s">
        <v>1219</v>
      </c>
      <c r="C767" s="75" t="s">
        <v>1220</v>
      </c>
      <c r="D767" s="70"/>
      <c r="E767" s="2" t="s">
        <v>278</v>
      </c>
      <c r="F767" s="50">
        <v>5</v>
      </c>
      <c r="G767" s="50">
        <v>0</v>
      </c>
      <c r="H767" s="50">
        <f>ROUND(F767*AO767,2)</f>
        <v>0</v>
      </c>
      <c r="I767" s="50">
        <f>ROUND(F767*AP767,2)</f>
        <v>0</v>
      </c>
      <c r="J767" s="50">
        <f>ROUND(F767*G767,2)</f>
        <v>0</v>
      </c>
      <c r="K767" s="51" t="s">
        <v>116</v>
      </c>
      <c r="Z767" s="50">
        <f>ROUND(IF(AQ767="5",BJ767,0),2)</f>
        <v>0</v>
      </c>
      <c r="AB767" s="50">
        <f>ROUND(IF(AQ767="1",BH767,0),2)</f>
        <v>0</v>
      </c>
      <c r="AC767" s="50">
        <f>ROUND(IF(AQ767="1",BI767,0),2)</f>
        <v>0</v>
      </c>
      <c r="AD767" s="50">
        <f>ROUND(IF(AQ767="7",BH767,0),2)</f>
        <v>0</v>
      </c>
      <c r="AE767" s="50">
        <f>ROUND(IF(AQ767="7",BI767,0),2)</f>
        <v>0</v>
      </c>
      <c r="AF767" s="50">
        <f>ROUND(IF(AQ767="2",BH767,0),2)</f>
        <v>0</v>
      </c>
      <c r="AG767" s="50">
        <f>ROUND(IF(AQ767="2",BI767,0),2)</f>
        <v>0</v>
      </c>
      <c r="AH767" s="50">
        <f>ROUND(IF(AQ767="0",BJ767,0),2)</f>
        <v>0</v>
      </c>
      <c r="AI767" s="32" t="s">
        <v>4</v>
      </c>
      <c r="AJ767" s="50">
        <f>IF(AN767=0,J767,0)</f>
        <v>0</v>
      </c>
      <c r="AK767" s="50">
        <f>IF(AN767=12,J767,0)</f>
        <v>0</v>
      </c>
      <c r="AL767" s="50">
        <f>IF(AN767=21,J767,0)</f>
        <v>0</v>
      </c>
      <c r="AN767" s="50">
        <v>21</v>
      </c>
      <c r="AO767" s="50">
        <f>G767*0.918396476</f>
        <v>0</v>
      </c>
      <c r="AP767" s="50">
        <f>G767*(1-0.918396476)</f>
        <v>0</v>
      </c>
      <c r="AQ767" s="52" t="s">
        <v>158</v>
      </c>
      <c r="AV767" s="50">
        <f>ROUND(AW767+AX767,2)</f>
        <v>0</v>
      </c>
      <c r="AW767" s="50">
        <f>ROUND(F767*AO767,2)</f>
        <v>0</v>
      </c>
      <c r="AX767" s="50">
        <f>ROUND(F767*AP767,2)</f>
        <v>0</v>
      </c>
      <c r="AY767" s="52" t="s">
        <v>1198</v>
      </c>
      <c r="AZ767" s="52" t="s">
        <v>1090</v>
      </c>
      <c r="BA767" s="32" t="s">
        <v>119</v>
      </c>
      <c r="BC767" s="50">
        <f>AW767+AX767</f>
        <v>0</v>
      </c>
      <c r="BD767" s="50">
        <f>G767/(100-BE767)*100</f>
        <v>0</v>
      </c>
      <c r="BE767" s="50">
        <v>0</v>
      </c>
      <c r="BF767" s="50">
        <f>767</f>
        <v>767</v>
      </c>
      <c r="BH767" s="50">
        <f>F767*AO767</f>
        <v>0</v>
      </c>
      <c r="BI767" s="50">
        <f>F767*AP767</f>
        <v>0</v>
      </c>
      <c r="BJ767" s="50">
        <f>F767*G767</f>
        <v>0</v>
      </c>
      <c r="BK767" s="50"/>
      <c r="BL767" s="50">
        <v>765</v>
      </c>
      <c r="BW767" s="50">
        <v>21</v>
      </c>
      <c r="BX767" s="3" t="s">
        <v>1220</v>
      </c>
    </row>
    <row r="768" spans="1:76" ht="14.4" x14ac:dyDescent="0.3">
      <c r="A768" s="53"/>
      <c r="C768" s="54" t="s">
        <v>147</v>
      </c>
      <c r="D768" s="54" t="s">
        <v>4</v>
      </c>
      <c r="F768" s="55">
        <v>5</v>
      </c>
      <c r="K768" s="56"/>
    </row>
    <row r="769" spans="1:76" ht="14.4" x14ac:dyDescent="0.3">
      <c r="A769" s="1" t="s">
        <v>1221</v>
      </c>
      <c r="B769" s="2" t="s">
        <v>1222</v>
      </c>
      <c r="C769" s="75" t="s">
        <v>1223</v>
      </c>
      <c r="D769" s="70"/>
      <c r="E769" s="2" t="s">
        <v>233</v>
      </c>
      <c r="F769" s="50">
        <v>28.8</v>
      </c>
      <c r="G769" s="50">
        <v>0</v>
      </c>
      <c r="H769" s="50">
        <f>ROUND(F769*AO769,2)</f>
        <v>0</v>
      </c>
      <c r="I769" s="50">
        <f>ROUND(F769*AP769,2)</f>
        <v>0</v>
      </c>
      <c r="J769" s="50">
        <f>ROUND(F769*G769,2)</f>
        <v>0</v>
      </c>
      <c r="K769" s="51" t="s">
        <v>116</v>
      </c>
      <c r="Z769" s="50">
        <f>ROUND(IF(AQ769="5",BJ769,0),2)</f>
        <v>0</v>
      </c>
      <c r="AB769" s="50">
        <f>ROUND(IF(AQ769="1",BH769,0),2)</f>
        <v>0</v>
      </c>
      <c r="AC769" s="50">
        <f>ROUND(IF(AQ769="1",BI769,0),2)</f>
        <v>0</v>
      </c>
      <c r="AD769" s="50">
        <f>ROUND(IF(AQ769="7",BH769,0),2)</f>
        <v>0</v>
      </c>
      <c r="AE769" s="50">
        <f>ROUND(IF(AQ769="7",BI769,0),2)</f>
        <v>0</v>
      </c>
      <c r="AF769" s="50">
        <f>ROUND(IF(AQ769="2",BH769,0),2)</f>
        <v>0</v>
      </c>
      <c r="AG769" s="50">
        <f>ROUND(IF(AQ769="2",BI769,0),2)</f>
        <v>0</v>
      </c>
      <c r="AH769" s="50">
        <f>ROUND(IF(AQ769="0",BJ769,0),2)</f>
        <v>0</v>
      </c>
      <c r="AI769" s="32" t="s">
        <v>4</v>
      </c>
      <c r="AJ769" s="50">
        <f>IF(AN769=0,J769,0)</f>
        <v>0</v>
      </c>
      <c r="AK769" s="50">
        <f>IF(AN769=12,J769,0)</f>
        <v>0</v>
      </c>
      <c r="AL769" s="50">
        <f>IF(AN769=21,J769,0)</f>
        <v>0</v>
      </c>
      <c r="AN769" s="50">
        <v>21</v>
      </c>
      <c r="AO769" s="50">
        <f>G769*0.477624778</f>
        <v>0</v>
      </c>
      <c r="AP769" s="50">
        <f>G769*(1-0.477624778)</f>
        <v>0</v>
      </c>
      <c r="AQ769" s="52" t="s">
        <v>158</v>
      </c>
      <c r="AV769" s="50">
        <f>ROUND(AW769+AX769,2)</f>
        <v>0</v>
      </c>
      <c r="AW769" s="50">
        <f>ROUND(F769*AO769,2)</f>
        <v>0</v>
      </c>
      <c r="AX769" s="50">
        <f>ROUND(F769*AP769,2)</f>
        <v>0</v>
      </c>
      <c r="AY769" s="52" t="s">
        <v>1198</v>
      </c>
      <c r="AZ769" s="52" t="s">
        <v>1090</v>
      </c>
      <c r="BA769" s="32" t="s">
        <v>119</v>
      </c>
      <c r="BC769" s="50">
        <f>AW769+AX769</f>
        <v>0</v>
      </c>
      <c r="BD769" s="50">
        <f>G769/(100-BE769)*100</f>
        <v>0</v>
      </c>
      <c r="BE769" s="50">
        <v>0</v>
      </c>
      <c r="BF769" s="50">
        <f>769</f>
        <v>769</v>
      </c>
      <c r="BH769" s="50">
        <f>F769*AO769</f>
        <v>0</v>
      </c>
      <c r="BI769" s="50">
        <f>F769*AP769</f>
        <v>0</v>
      </c>
      <c r="BJ769" s="50">
        <f>F769*G769</f>
        <v>0</v>
      </c>
      <c r="BK769" s="50"/>
      <c r="BL769" s="50">
        <v>765</v>
      </c>
      <c r="BW769" s="50">
        <v>21</v>
      </c>
      <c r="BX769" s="3" t="s">
        <v>1223</v>
      </c>
    </row>
    <row r="770" spans="1:76" ht="14.4" x14ac:dyDescent="0.3">
      <c r="A770" s="53"/>
      <c r="C770" s="54" t="s">
        <v>1180</v>
      </c>
      <c r="D770" s="54" t="s">
        <v>4</v>
      </c>
      <c r="F770" s="55">
        <v>28.8</v>
      </c>
      <c r="K770" s="56"/>
    </row>
    <row r="771" spans="1:76" ht="14.4" x14ac:dyDescent="0.3">
      <c r="A771" s="1" t="s">
        <v>1224</v>
      </c>
      <c r="B771" s="2" t="s">
        <v>1225</v>
      </c>
      <c r="C771" s="75" t="s">
        <v>1226</v>
      </c>
      <c r="D771" s="70"/>
      <c r="E771" s="2" t="s">
        <v>173</v>
      </c>
      <c r="F771" s="50">
        <v>6.4256500000000001</v>
      </c>
      <c r="G771" s="50">
        <v>0</v>
      </c>
      <c r="H771" s="50">
        <f>ROUND(F771*AO771,2)</f>
        <v>0</v>
      </c>
      <c r="I771" s="50">
        <f>ROUND(F771*AP771,2)</f>
        <v>0</v>
      </c>
      <c r="J771" s="50">
        <f>ROUND(F771*G771,2)</f>
        <v>0</v>
      </c>
      <c r="K771" s="51" t="s">
        <v>116</v>
      </c>
      <c r="Z771" s="50">
        <f>ROUND(IF(AQ771="5",BJ771,0),2)</f>
        <v>0</v>
      </c>
      <c r="AB771" s="50">
        <f>ROUND(IF(AQ771="1",BH771,0),2)</f>
        <v>0</v>
      </c>
      <c r="AC771" s="50">
        <f>ROUND(IF(AQ771="1",BI771,0),2)</f>
        <v>0</v>
      </c>
      <c r="AD771" s="50">
        <f>ROUND(IF(AQ771="7",BH771,0),2)</f>
        <v>0</v>
      </c>
      <c r="AE771" s="50">
        <f>ROUND(IF(AQ771="7",BI771,0),2)</f>
        <v>0</v>
      </c>
      <c r="AF771" s="50">
        <f>ROUND(IF(AQ771="2",BH771,0),2)</f>
        <v>0</v>
      </c>
      <c r="AG771" s="50">
        <f>ROUND(IF(AQ771="2",BI771,0),2)</f>
        <v>0</v>
      </c>
      <c r="AH771" s="50">
        <f>ROUND(IF(AQ771="0",BJ771,0),2)</f>
        <v>0</v>
      </c>
      <c r="AI771" s="32" t="s">
        <v>4</v>
      </c>
      <c r="AJ771" s="50">
        <f>IF(AN771=0,J771,0)</f>
        <v>0</v>
      </c>
      <c r="AK771" s="50">
        <f>IF(AN771=12,J771,0)</f>
        <v>0</v>
      </c>
      <c r="AL771" s="50">
        <f>IF(AN771=21,J771,0)</f>
        <v>0</v>
      </c>
      <c r="AN771" s="50">
        <v>21</v>
      </c>
      <c r="AO771" s="50">
        <f>G771*0</f>
        <v>0</v>
      </c>
      <c r="AP771" s="50">
        <f>G771*(1-0)</f>
        <v>0</v>
      </c>
      <c r="AQ771" s="52" t="s">
        <v>147</v>
      </c>
      <c r="AV771" s="50">
        <f>ROUND(AW771+AX771,2)</f>
        <v>0</v>
      </c>
      <c r="AW771" s="50">
        <f>ROUND(F771*AO771,2)</f>
        <v>0</v>
      </c>
      <c r="AX771" s="50">
        <f>ROUND(F771*AP771,2)</f>
        <v>0</v>
      </c>
      <c r="AY771" s="52" t="s">
        <v>1198</v>
      </c>
      <c r="AZ771" s="52" t="s">
        <v>1090</v>
      </c>
      <c r="BA771" s="32" t="s">
        <v>119</v>
      </c>
      <c r="BC771" s="50">
        <f>AW771+AX771</f>
        <v>0</v>
      </c>
      <c r="BD771" s="50">
        <f>G771/(100-BE771)*100</f>
        <v>0</v>
      </c>
      <c r="BE771" s="50">
        <v>0</v>
      </c>
      <c r="BF771" s="50">
        <f>771</f>
        <v>771</v>
      </c>
      <c r="BH771" s="50">
        <f>F771*AO771</f>
        <v>0</v>
      </c>
      <c r="BI771" s="50">
        <f>F771*AP771</f>
        <v>0</v>
      </c>
      <c r="BJ771" s="50">
        <f>F771*G771</f>
        <v>0</v>
      </c>
      <c r="BK771" s="50"/>
      <c r="BL771" s="50">
        <v>765</v>
      </c>
      <c r="BW771" s="50">
        <v>21</v>
      </c>
      <c r="BX771" s="3" t="s">
        <v>1226</v>
      </c>
    </row>
    <row r="772" spans="1:76" ht="14.4" x14ac:dyDescent="0.3">
      <c r="A772" s="46" t="s">
        <v>4</v>
      </c>
      <c r="B772" s="47" t="s">
        <v>1227</v>
      </c>
      <c r="C772" s="148" t="s">
        <v>1228</v>
      </c>
      <c r="D772" s="149"/>
      <c r="E772" s="48" t="s">
        <v>74</v>
      </c>
      <c r="F772" s="48" t="s">
        <v>74</v>
      </c>
      <c r="G772" s="48" t="s">
        <v>74</v>
      </c>
      <c r="H772" s="26">
        <f>SUM(H773:H826)</f>
        <v>0</v>
      </c>
      <c r="I772" s="26">
        <f>SUM(I773:I826)</f>
        <v>0</v>
      </c>
      <c r="J772" s="26">
        <f>SUM(J773:J826)</f>
        <v>0</v>
      </c>
      <c r="K772" s="49" t="s">
        <v>4</v>
      </c>
      <c r="AI772" s="32" t="s">
        <v>4</v>
      </c>
      <c r="AS772" s="26">
        <f>SUM(AJ773:AJ826)</f>
        <v>0</v>
      </c>
      <c r="AT772" s="26">
        <f>SUM(AK773:AK826)</f>
        <v>0</v>
      </c>
      <c r="AU772" s="26">
        <f>SUM(AL773:AL826)</f>
        <v>0</v>
      </c>
    </row>
    <row r="773" spans="1:76" ht="14.4" x14ac:dyDescent="0.3">
      <c r="A773" s="1" t="s">
        <v>1229</v>
      </c>
      <c r="B773" s="2" t="s">
        <v>1230</v>
      </c>
      <c r="C773" s="75" t="s">
        <v>1231</v>
      </c>
      <c r="D773" s="70"/>
      <c r="E773" s="2" t="s">
        <v>278</v>
      </c>
      <c r="F773" s="50">
        <v>9</v>
      </c>
      <c r="G773" s="50">
        <v>0</v>
      </c>
      <c r="H773" s="50">
        <f>ROUND(F773*AO773,2)</f>
        <v>0</v>
      </c>
      <c r="I773" s="50">
        <f>ROUND(F773*AP773,2)</f>
        <v>0</v>
      </c>
      <c r="J773" s="50">
        <f>ROUND(F773*G773,2)</f>
        <v>0</v>
      </c>
      <c r="K773" s="51" t="s">
        <v>116</v>
      </c>
      <c r="Z773" s="50">
        <f>ROUND(IF(AQ773="5",BJ773,0),2)</f>
        <v>0</v>
      </c>
      <c r="AB773" s="50">
        <f>ROUND(IF(AQ773="1",BH773,0),2)</f>
        <v>0</v>
      </c>
      <c r="AC773" s="50">
        <f>ROUND(IF(AQ773="1",BI773,0),2)</f>
        <v>0</v>
      </c>
      <c r="AD773" s="50">
        <f>ROUND(IF(AQ773="7",BH773,0),2)</f>
        <v>0</v>
      </c>
      <c r="AE773" s="50">
        <f>ROUND(IF(AQ773="7",BI773,0),2)</f>
        <v>0</v>
      </c>
      <c r="AF773" s="50">
        <f>ROUND(IF(AQ773="2",BH773,0),2)</f>
        <v>0</v>
      </c>
      <c r="AG773" s="50">
        <f>ROUND(IF(AQ773="2",BI773,0),2)</f>
        <v>0</v>
      </c>
      <c r="AH773" s="50">
        <f>ROUND(IF(AQ773="0",BJ773,0),2)</f>
        <v>0</v>
      </c>
      <c r="AI773" s="32" t="s">
        <v>4</v>
      </c>
      <c r="AJ773" s="50">
        <f>IF(AN773=0,J773,0)</f>
        <v>0</v>
      </c>
      <c r="AK773" s="50">
        <f>IF(AN773=12,J773,0)</f>
        <v>0</v>
      </c>
      <c r="AL773" s="50">
        <f>IF(AN773=21,J773,0)</f>
        <v>0</v>
      </c>
      <c r="AN773" s="50">
        <v>21</v>
      </c>
      <c r="AO773" s="50">
        <f>G773*0.026015936</f>
        <v>0</v>
      </c>
      <c r="AP773" s="50">
        <f>G773*(1-0.026015936)</f>
        <v>0</v>
      </c>
      <c r="AQ773" s="52" t="s">
        <v>158</v>
      </c>
      <c r="AV773" s="50">
        <f>ROUND(AW773+AX773,2)</f>
        <v>0</v>
      </c>
      <c r="AW773" s="50">
        <f>ROUND(F773*AO773,2)</f>
        <v>0</v>
      </c>
      <c r="AX773" s="50">
        <f>ROUND(F773*AP773,2)</f>
        <v>0</v>
      </c>
      <c r="AY773" s="52" t="s">
        <v>1232</v>
      </c>
      <c r="AZ773" s="52" t="s">
        <v>1090</v>
      </c>
      <c r="BA773" s="32" t="s">
        <v>119</v>
      </c>
      <c r="BC773" s="50">
        <f>AW773+AX773</f>
        <v>0</v>
      </c>
      <c r="BD773" s="50">
        <f>G773/(100-BE773)*100</f>
        <v>0</v>
      </c>
      <c r="BE773" s="50">
        <v>0</v>
      </c>
      <c r="BF773" s="50">
        <f>773</f>
        <v>773</v>
      </c>
      <c r="BH773" s="50">
        <f>F773*AO773</f>
        <v>0</v>
      </c>
      <c r="BI773" s="50">
        <f>F773*AP773</f>
        <v>0</v>
      </c>
      <c r="BJ773" s="50">
        <f>F773*G773</f>
        <v>0</v>
      </c>
      <c r="BK773" s="50"/>
      <c r="BL773" s="50">
        <v>766</v>
      </c>
      <c r="BW773" s="50">
        <v>21</v>
      </c>
      <c r="BX773" s="3" t="s">
        <v>1231</v>
      </c>
    </row>
    <row r="774" spans="1:76" ht="14.4" x14ac:dyDescent="0.3">
      <c r="A774" s="53"/>
      <c r="C774" s="54" t="s">
        <v>166</v>
      </c>
      <c r="D774" s="54" t="s">
        <v>4</v>
      </c>
      <c r="F774" s="55">
        <v>9</v>
      </c>
      <c r="K774" s="56"/>
    </row>
    <row r="775" spans="1:76" ht="14.4" x14ac:dyDescent="0.3">
      <c r="A775" s="1" t="s">
        <v>1233</v>
      </c>
      <c r="B775" s="2" t="s">
        <v>1234</v>
      </c>
      <c r="C775" s="75" t="s">
        <v>1235</v>
      </c>
      <c r="D775" s="70"/>
      <c r="E775" s="2" t="s">
        <v>278</v>
      </c>
      <c r="F775" s="50">
        <v>2</v>
      </c>
      <c r="G775" s="50">
        <v>0</v>
      </c>
      <c r="H775" s="50">
        <f>ROUND(F775*AO775,2)</f>
        <v>0</v>
      </c>
      <c r="I775" s="50">
        <f>ROUND(F775*AP775,2)</f>
        <v>0</v>
      </c>
      <c r="J775" s="50">
        <f>ROUND(F775*G775,2)</f>
        <v>0</v>
      </c>
      <c r="K775" s="51" t="s">
        <v>116</v>
      </c>
      <c r="Z775" s="50">
        <f>ROUND(IF(AQ775="5",BJ775,0),2)</f>
        <v>0</v>
      </c>
      <c r="AB775" s="50">
        <f>ROUND(IF(AQ775="1",BH775,0),2)</f>
        <v>0</v>
      </c>
      <c r="AC775" s="50">
        <f>ROUND(IF(AQ775="1",BI775,0),2)</f>
        <v>0</v>
      </c>
      <c r="AD775" s="50">
        <f>ROUND(IF(AQ775="7",BH775,0),2)</f>
        <v>0</v>
      </c>
      <c r="AE775" s="50">
        <f>ROUND(IF(AQ775="7",BI775,0),2)</f>
        <v>0</v>
      </c>
      <c r="AF775" s="50">
        <f>ROUND(IF(AQ775="2",BH775,0),2)</f>
        <v>0</v>
      </c>
      <c r="AG775" s="50">
        <f>ROUND(IF(AQ775="2",BI775,0),2)</f>
        <v>0</v>
      </c>
      <c r="AH775" s="50">
        <f>ROUND(IF(AQ775="0",BJ775,0),2)</f>
        <v>0</v>
      </c>
      <c r="AI775" s="32" t="s">
        <v>4</v>
      </c>
      <c r="AJ775" s="50">
        <f>IF(AN775=0,J775,0)</f>
        <v>0</v>
      </c>
      <c r="AK775" s="50">
        <f>IF(AN775=12,J775,0)</f>
        <v>0</v>
      </c>
      <c r="AL775" s="50">
        <f>IF(AN775=21,J775,0)</f>
        <v>0</v>
      </c>
      <c r="AN775" s="50">
        <v>21</v>
      </c>
      <c r="AO775" s="50">
        <f>G775*1</f>
        <v>0</v>
      </c>
      <c r="AP775" s="50">
        <f>G775*(1-1)</f>
        <v>0</v>
      </c>
      <c r="AQ775" s="52" t="s">
        <v>158</v>
      </c>
      <c r="AV775" s="50">
        <f>ROUND(AW775+AX775,2)</f>
        <v>0</v>
      </c>
      <c r="AW775" s="50">
        <f>ROUND(F775*AO775,2)</f>
        <v>0</v>
      </c>
      <c r="AX775" s="50">
        <f>ROUND(F775*AP775,2)</f>
        <v>0</v>
      </c>
      <c r="AY775" s="52" t="s">
        <v>1232</v>
      </c>
      <c r="AZ775" s="52" t="s">
        <v>1090</v>
      </c>
      <c r="BA775" s="32" t="s">
        <v>119</v>
      </c>
      <c r="BC775" s="50">
        <f>AW775+AX775</f>
        <v>0</v>
      </c>
      <c r="BD775" s="50">
        <f>G775/(100-BE775)*100</f>
        <v>0</v>
      </c>
      <c r="BE775" s="50">
        <v>0</v>
      </c>
      <c r="BF775" s="50">
        <f>775</f>
        <v>775</v>
      </c>
      <c r="BH775" s="50">
        <f>F775*AO775</f>
        <v>0</v>
      </c>
      <c r="BI775" s="50">
        <f>F775*AP775</f>
        <v>0</v>
      </c>
      <c r="BJ775" s="50">
        <f>F775*G775</f>
        <v>0</v>
      </c>
      <c r="BK775" s="50"/>
      <c r="BL775" s="50">
        <v>766</v>
      </c>
      <c r="BW775" s="50">
        <v>21</v>
      </c>
      <c r="BX775" s="3" t="s">
        <v>1235</v>
      </c>
    </row>
    <row r="776" spans="1:76" ht="14.4" x14ac:dyDescent="0.3">
      <c r="A776" s="53"/>
      <c r="C776" s="54" t="s">
        <v>132</v>
      </c>
      <c r="D776" s="54" t="s">
        <v>4</v>
      </c>
      <c r="F776" s="55">
        <v>2</v>
      </c>
      <c r="K776" s="56"/>
    </row>
    <row r="777" spans="1:76" ht="14.4" x14ac:dyDescent="0.3">
      <c r="A777" s="1" t="s">
        <v>1236</v>
      </c>
      <c r="B777" s="2" t="s">
        <v>1237</v>
      </c>
      <c r="C777" s="75" t="s">
        <v>1238</v>
      </c>
      <c r="D777" s="70"/>
      <c r="E777" s="2" t="s">
        <v>278</v>
      </c>
      <c r="F777" s="50">
        <v>7</v>
      </c>
      <c r="G777" s="50">
        <v>0</v>
      </c>
      <c r="H777" s="50">
        <f>ROUND(F777*AO777,2)</f>
        <v>0</v>
      </c>
      <c r="I777" s="50">
        <f>ROUND(F777*AP777,2)</f>
        <v>0</v>
      </c>
      <c r="J777" s="50">
        <f>ROUND(F777*G777,2)</f>
        <v>0</v>
      </c>
      <c r="K777" s="51" t="s">
        <v>116</v>
      </c>
      <c r="Z777" s="50">
        <f>ROUND(IF(AQ777="5",BJ777,0),2)</f>
        <v>0</v>
      </c>
      <c r="AB777" s="50">
        <f>ROUND(IF(AQ777="1",BH777,0),2)</f>
        <v>0</v>
      </c>
      <c r="AC777" s="50">
        <f>ROUND(IF(AQ777="1",BI777,0),2)</f>
        <v>0</v>
      </c>
      <c r="AD777" s="50">
        <f>ROUND(IF(AQ777="7",BH777,0),2)</f>
        <v>0</v>
      </c>
      <c r="AE777" s="50">
        <f>ROUND(IF(AQ777="7",BI777,0),2)</f>
        <v>0</v>
      </c>
      <c r="AF777" s="50">
        <f>ROUND(IF(AQ777="2",BH777,0),2)</f>
        <v>0</v>
      </c>
      <c r="AG777" s="50">
        <f>ROUND(IF(AQ777="2",BI777,0),2)</f>
        <v>0</v>
      </c>
      <c r="AH777" s="50">
        <f>ROUND(IF(AQ777="0",BJ777,0),2)</f>
        <v>0</v>
      </c>
      <c r="AI777" s="32" t="s">
        <v>4</v>
      </c>
      <c r="AJ777" s="50">
        <f>IF(AN777=0,J777,0)</f>
        <v>0</v>
      </c>
      <c r="AK777" s="50">
        <f>IF(AN777=12,J777,0)</f>
        <v>0</v>
      </c>
      <c r="AL777" s="50">
        <f>IF(AN777=21,J777,0)</f>
        <v>0</v>
      </c>
      <c r="AN777" s="50">
        <v>21</v>
      </c>
      <c r="AO777" s="50">
        <f>G777*1</f>
        <v>0</v>
      </c>
      <c r="AP777" s="50">
        <f>G777*(1-1)</f>
        <v>0</v>
      </c>
      <c r="AQ777" s="52" t="s">
        <v>158</v>
      </c>
      <c r="AV777" s="50">
        <f>ROUND(AW777+AX777,2)</f>
        <v>0</v>
      </c>
      <c r="AW777" s="50">
        <f>ROUND(F777*AO777,2)</f>
        <v>0</v>
      </c>
      <c r="AX777" s="50">
        <f>ROUND(F777*AP777,2)</f>
        <v>0</v>
      </c>
      <c r="AY777" s="52" t="s">
        <v>1232</v>
      </c>
      <c r="AZ777" s="52" t="s">
        <v>1090</v>
      </c>
      <c r="BA777" s="32" t="s">
        <v>119</v>
      </c>
      <c r="BC777" s="50">
        <f>AW777+AX777</f>
        <v>0</v>
      </c>
      <c r="BD777" s="50">
        <f>G777/(100-BE777)*100</f>
        <v>0</v>
      </c>
      <c r="BE777" s="50">
        <v>0</v>
      </c>
      <c r="BF777" s="50">
        <f>777</f>
        <v>777</v>
      </c>
      <c r="BH777" s="50">
        <f>F777*AO777</f>
        <v>0</v>
      </c>
      <c r="BI777" s="50">
        <f>F777*AP777</f>
        <v>0</v>
      </c>
      <c r="BJ777" s="50">
        <f>F777*G777</f>
        <v>0</v>
      </c>
      <c r="BK777" s="50"/>
      <c r="BL777" s="50">
        <v>766</v>
      </c>
      <c r="BW777" s="50">
        <v>21</v>
      </c>
      <c r="BX777" s="3" t="s">
        <v>1238</v>
      </c>
    </row>
    <row r="778" spans="1:76" ht="14.4" x14ac:dyDescent="0.3">
      <c r="A778" s="53"/>
      <c r="C778" s="54" t="s">
        <v>158</v>
      </c>
      <c r="D778" s="54" t="s">
        <v>4</v>
      </c>
      <c r="F778" s="55">
        <v>7</v>
      </c>
      <c r="K778" s="56"/>
    </row>
    <row r="779" spans="1:76" ht="14.4" x14ac:dyDescent="0.3">
      <c r="A779" s="1" t="s">
        <v>1239</v>
      </c>
      <c r="B779" s="2" t="s">
        <v>1240</v>
      </c>
      <c r="C779" s="75" t="s">
        <v>1241</v>
      </c>
      <c r="D779" s="70"/>
      <c r="E779" s="2" t="s">
        <v>278</v>
      </c>
      <c r="F779" s="50">
        <v>2</v>
      </c>
      <c r="G779" s="50">
        <v>0</v>
      </c>
      <c r="H779" s="50">
        <f>ROUND(F779*AO779,2)</f>
        <v>0</v>
      </c>
      <c r="I779" s="50">
        <f>ROUND(F779*AP779,2)</f>
        <v>0</v>
      </c>
      <c r="J779" s="50">
        <f>ROUND(F779*G779,2)</f>
        <v>0</v>
      </c>
      <c r="K779" s="51" t="s">
        <v>116</v>
      </c>
      <c r="Z779" s="50">
        <f>ROUND(IF(AQ779="5",BJ779,0),2)</f>
        <v>0</v>
      </c>
      <c r="AB779" s="50">
        <f>ROUND(IF(AQ779="1",BH779,0),2)</f>
        <v>0</v>
      </c>
      <c r="AC779" s="50">
        <f>ROUND(IF(AQ779="1",BI779,0),2)</f>
        <v>0</v>
      </c>
      <c r="AD779" s="50">
        <f>ROUND(IF(AQ779="7",BH779,0),2)</f>
        <v>0</v>
      </c>
      <c r="AE779" s="50">
        <f>ROUND(IF(AQ779="7",BI779,0),2)</f>
        <v>0</v>
      </c>
      <c r="AF779" s="50">
        <f>ROUND(IF(AQ779="2",BH779,0),2)</f>
        <v>0</v>
      </c>
      <c r="AG779" s="50">
        <f>ROUND(IF(AQ779="2",BI779,0),2)</f>
        <v>0</v>
      </c>
      <c r="AH779" s="50">
        <f>ROUND(IF(AQ779="0",BJ779,0),2)</f>
        <v>0</v>
      </c>
      <c r="AI779" s="32" t="s">
        <v>4</v>
      </c>
      <c r="AJ779" s="50">
        <f>IF(AN779=0,J779,0)</f>
        <v>0</v>
      </c>
      <c r="AK779" s="50">
        <f>IF(AN779=12,J779,0)</f>
        <v>0</v>
      </c>
      <c r="AL779" s="50">
        <f>IF(AN779=21,J779,0)</f>
        <v>0</v>
      </c>
      <c r="AN779" s="50">
        <v>21</v>
      </c>
      <c r="AO779" s="50">
        <f>G779*1</f>
        <v>0</v>
      </c>
      <c r="AP779" s="50">
        <f>G779*(1-1)</f>
        <v>0</v>
      </c>
      <c r="AQ779" s="52" t="s">
        <v>158</v>
      </c>
      <c r="AV779" s="50">
        <f>ROUND(AW779+AX779,2)</f>
        <v>0</v>
      </c>
      <c r="AW779" s="50">
        <f>ROUND(F779*AO779,2)</f>
        <v>0</v>
      </c>
      <c r="AX779" s="50">
        <f>ROUND(F779*AP779,2)</f>
        <v>0</v>
      </c>
      <c r="AY779" s="52" t="s">
        <v>1232</v>
      </c>
      <c r="AZ779" s="52" t="s">
        <v>1090</v>
      </c>
      <c r="BA779" s="32" t="s">
        <v>119</v>
      </c>
      <c r="BC779" s="50">
        <f>AW779+AX779</f>
        <v>0</v>
      </c>
      <c r="BD779" s="50">
        <f>G779/(100-BE779)*100</f>
        <v>0</v>
      </c>
      <c r="BE779" s="50">
        <v>0</v>
      </c>
      <c r="BF779" s="50">
        <f>779</f>
        <v>779</v>
      </c>
      <c r="BH779" s="50">
        <f>F779*AO779</f>
        <v>0</v>
      </c>
      <c r="BI779" s="50">
        <f>F779*AP779</f>
        <v>0</v>
      </c>
      <c r="BJ779" s="50">
        <f>F779*G779</f>
        <v>0</v>
      </c>
      <c r="BK779" s="50"/>
      <c r="BL779" s="50">
        <v>766</v>
      </c>
      <c r="BW779" s="50">
        <v>21</v>
      </c>
      <c r="BX779" s="3" t="s">
        <v>1241</v>
      </c>
    </row>
    <row r="780" spans="1:76" ht="14.4" x14ac:dyDescent="0.3">
      <c r="A780" s="53"/>
      <c r="C780" s="54" t="s">
        <v>132</v>
      </c>
      <c r="D780" s="54" t="s">
        <v>4</v>
      </c>
      <c r="F780" s="55">
        <v>2</v>
      </c>
      <c r="K780" s="56"/>
    </row>
    <row r="781" spans="1:76" ht="14.4" x14ac:dyDescent="0.3">
      <c r="A781" s="1" t="s">
        <v>1242</v>
      </c>
      <c r="B781" s="2" t="s">
        <v>1243</v>
      </c>
      <c r="C781" s="75" t="s">
        <v>1244</v>
      </c>
      <c r="D781" s="70"/>
      <c r="E781" s="2" t="s">
        <v>278</v>
      </c>
      <c r="F781" s="50">
        <v>7</v>
      </c>
      <c r="G781" s="50">
        <v>0</v>
      </c>
      <c r="H781" s="50">
        <f>ROUND(F781*AO781,2)</f>
        <v>0</v>
      </c>
      <c r="I781" s="50">
        <f>ROUND(F781*AP781,2)</f>
        <v>0</v>
      </c>
      <c r="J781" s="50">
        <f>ROUND(F781*G781,2)</f>
        <v>0</v>
      </c>
      <c r="K781" s="51" t="s">
        <v>116</v>
      </c>
      <c r="Z781" s="50">
        <f>ROUND(IF(AQ781="5",BJ781,0),2)</f>
        <v>0</v>
      </c>
      <c r="AB781" s="50">
        <f>ROUND(IF(AQ781="1",BH781,0),2)</f>
        <v>0</v>
      </c>
      <c r="AC781" s="50">
        <f>ROUND(IF(AQ781="1",BI781,0),2)</f>
        <v>0</v>
      </c>
      <c r="AD781" s="50">
        <f>ROUND(IF(AQ781="7",BH781,0),2)</f>
        <v>0</v>
      </c>
      <c r="AE781" s="50">
        <f>ROUND(IF(AQ781="7",BI781,0),2)</f>
        <v>0</v>
      </c>
      <c r="AF781" s="50">
        <f>ROUND(IF(AQ781="2",BH781,0),2)</f>
        <v>0</v>
      </c>
      <c r="AG781" s="50">
        <f>ROUND(IF(AQ781="2",BI781,0),2)</f>
        <v>0</v>
      </c>
      <c r="AH781" s="50">
        <f>ROUND(IF(AQ781="0",BJ781,0),2)</f>
        <v>0</v>
      </c>
      <c r="AI781" s="32" t="s">
        <v>4</v>
      </c>
      <c r="AJ781" s="50">
        <f>IF(AN781=0,J781,0)</f>
        <v>0</v>
      </c>
      <c r="AK781" s="50">
        <f>IF(AN781=12,J781,0)</f>
        <v>0</v>
      </c>
      <c r="AL781" s="50">
        <f>IF(AN781=21,J781,0)</f>
        <v>0</v>
      </c>
      <c r="AN781" s="50">
        <v>21</v>
      </c>
      <c r="AO781" s="50">
        <f>G781*1</f>
        <v>0</v>
      </c>
      <c r="AP781" s="50">
        <f>G781*(1-1)</f>
        <v>0</v>
      </c>
      <c r="AQ781" s="52" t="s">
        <v>158</v>
      </c>
      <c r="AV781" s="50">
        <f>ROUND(AW781+AX781,2)</f>
        <v>0</v>
      </c>
      <c r="AW781" s="50">
        <f>ROUND(F781*AO781,2)</f>
        <v>0</v>
      </c>
      <c r="AX781" s="50">
        <f>ROUND(F781*AP781,2)</f>
        <v>0</v>
      </c>
      <c r="AY781" s="52" t="s">
        <v>1232</v>
      </c>
      <c r="AZ781" s="52" t="s">
        <v>1090</v>
      </c>
      <c r="BA781" s="32" t="s">
        <v>119</v>
      </c>
      <c r="BC781" s="50">
        <f>AW781+AX781</f>
        <v>0</v>
      </c>
      <c r="BD781" s="50">
        <f>G781/(100-BE781)*100</f>
        <v>0</v>
      </c>
      <c r="BE781" s="50">
        <v>0</v>
      </c>
      <c r="BF781" s="50">
        <f>781</f>
        <v>781</v>
      </c>
      <c r="BH781" s="50">
        <f>F781*AO781</f>
        <v>0</v>
      </c>
      <c r="BI781" s="50">
        <f>F781*AP781</f>
        <v>0</v>
      </c>
      <c r="BJ781" s="50">
        <f>F781*G781</f>
        <v>0</v>
      </c>
      <c r="BK781" s="50"/>
      <c r="BL781" s="50">
        <v>766</v>
      </c>
      <c r="BW781" s="50">
        <v>21</v>
      </c>
      <c r="BX781" s="3" t="s">
        <v>1244</v>
      </c>
    </row>
    <row r="782" spans="1:76" ht="14.4" x14ac:dyDescent="0.3">
      <c r="A782" s="53"/>
      <c r="C782" s="54" t="s">
        <v>158</v>
      </c>
      <c r="D782" s="54" t="s">
        <v>4</v>
      </c>
      <c r="F782" s="55">
        <v>7</v>
      </c>
      <c r="K782" s="56"/>
    </row>
    <row r="783" spans="1:76" ht="14.4" x14ac:dyDescent="0.3">
      <c r="A783" s="1" t="s">
        <v>1245</v>
      </c>
      <c r="B783" s="2" t="s">
        <v>1246</v>
      </c>
      <c r="C783" s="75" t="s">
        <v>1247</v>
      </c>
      <c r="D783" s="70"/>
      <c r="E783" s="2" t="s">
        <v>278</v>
      </c>
      <c r="F783" s="50">
        <v>1</v>
      </c>
      <c r="G783" s="50">
        <v>0</v>
      </c>
      <c r="H783" s="50">
        <f>ROUND(F783*AO783,2)</f>
        <v>0</v>
      </c>
      <c r="I783" s="50">
        <f>ROUND(F783*AP783,2)</f>
        <v>0</v>
      </c>
      <c r="J783" s="50">
        <f>ROUND(F783*G783,2)</f>
        <v>0</v>
      </c>
      <c r="K783" s="51" t="s">
        <v>116</v>
      </c>
      <c r="Z783" s="50">
        <f>ROUND(IF(AQ783="5",BJ783,0),2)</f>
        <v>0</v>
      </c>
      <c r="AB783" s="50">
        <f>ROUND(IF(AQ783="1",BH783,0),2)</f>
        <v>0</v>
      </c>
      <c r="AC783" s="50">
        <f>ROUND(IF(AQ783="1",BI783,0),2)</f>
        <v>0</v>
      </c>
      <c r="AD783" s="50">
        <f>ROUND(IF(AQ783="7",BH783,0),2)</f>
        <v>0</v>
      </c>
      <c r="AE783" s="50">
        <f>ROUND(IF(AQ783="7",BI783,0),2)</f>
        <v>0</v>
      </c>
      <c r="AF783" s="50">
        <f>ROUND(IF(AQ783="2",BH783,0),2)</f>
        <v>0</v>
      </c>
      <c r="AG783" s="50">
        <f>ROUND(IF(AQ783="2",BI783,0),2)</f>
        <v>0</v>
      </c>
      <c r="AH783" s="50">
        <f>ROUND(IF(AQ783="0",BJ783,0),2)</f>
        <v>0</v>
      </c>
      <c r="AI783" s="32" t="s">
        <v>4</v>
      </c>
      <c r="AJ783" s="50">
        <f>IF(AN783=0,J783,0)</f>
        <v>0</v>
      </c>
      <c r="AK783" s="50">
        <f>IF(AN783=12,J783,0)</f>
        <v>0</v>
      </c>
      <c r="AL783" s="50">
        <f>IF(AN783=21,J783,0)</f>
        <v>0</v>
      </c>
      <c r="AN783" s="50">
        <v>21</v>
      </c>
      <c r="AO783" s="50">
        <f>G783*0.02599328</f>
        <v>0</v>
      </c>
      <c r="AP783" s="50">
        <f>G783*(1-0.02599328)</f>
        <v>0</v>
      </c>
      <c r="AQ783" s="52" t="s">
        <v>158</v>
      </c>
      <c r="AV783" s="50">
        <f>ROUND(AW783+AX783,2)</f>
        <v>0</v>
      </c>
      <c r="AW783" s="50">
        <f>ROUND(F783*AO783,2)</f>
        <v>0</v>
      </c>
      <c r="AX783" s="50">
        <f>ROUND(F783*AP783,2)</f>
        <v>0</v>
      </c>
      <c r="AY783" s="52" t="s">
        <v>1232</v>
      </c>
      <c r="AZ783" s="52" t="s">
        <v>1090</v>
      </c>
      <c r="BA783" s="32" t="s">
        <v>119</v>
      </c>
      <c r="BC783" s="50">
        <f>AW783+AX783</f>
        <v>0</v>
      </c>
      <c r="BD783" s="50">
        <f>G783/(100-BE783)*100</f>
        <v>0</v>
      </c>
      <c r="BE783" s="50">
        <v>0</v>
      </c>
      <c r="BF783" s="50">
        <f>783</f>
        <v>783</v>
      </c>
      <c r="BH783" s="50">
        <f>F783*AO783</f>
        <v>0</v>
      </c>
      <c r="BI783" s="50">
        <f>F783*AP783</f>
        <v>0</v>
      </c>
      <c r="BJ783" s="50">
        <f>F783*G783</f>
        <v>0</v>
      </c>
      <c r="BK783" s="50"/>
      <c r="BL783" s="50">
        <v>766</v>
      </c>
      <c r="BW783" s="50">
        <v>21</v>
      </c>
      <c r="BX783" s="3" t="s">
        <v>1247</v>
      </c>
    </row>
    <row r="784" spans="1:76" ht="14.4" x14ac:dyDescent="0.3">
      <c r="A784" s="53"/>
      <c r="C784" s="54" t="s">
        <v>112</v>
      </c>
      <c r="D784" s="54" t="s">
        <v>4</v>
      </c>
      <c r="F784" s="55">
        <v>1</v>
      </c>
      <c r="K784" s="56"/>
    </row>
    <row r="785" spans="1:76" ht="14.4" x14ac:dyDescent="0.3">
      <c r="A785" s="1" t="s">
        <v>1248</v>
      </c>
      <c r="B785" s="2" t="s">
        <v>1249</v>
      </c>
      <c r="C785" s="75" t="s">
        <v>1250</v>
      </c>
      <c r="D785" s="70"/>
      <c r="E785" s="2" t="s">
        <v>278</v>
      </c>
      <c r="F785" s="50">
        <v>1</v>
      </c>
      <c r="G785" s="50">
        <v>0</v>
      </c>
      <c r="H785" s="50">
        <f>ROUND(F785*AO785,2)</f>
        <v>0</v>
      </c>
      <c r="I785" s="50">
        <f>ROUND(F785*AP785,2)</f>
        <v>0</v>
      </c>
      <c r="J785" s="50">
        <f>ROUND(F785*G785,2)</f>
        <v>0</v>
      </c>
      <c r="K785" s="51" t="s">
        <v>116</v>
      </c>
      <c r="Z785" s="50">
        <f>ROUND(IF(AQ785="5",BJ785,0),2)</f>
        <v>0</v>
      </c>
      <c r="AB785" s="50">
        <f>ROUND(IF(AQ785="1",BH785,0),2)</f>
        <v>0</v>
      </c>
      <c r="AC785" s="50">
        <f>ROUND(IF(AQ785="1",BI785,0),2)</f>
        <v>0</v>
      </c>
      <c r="AD785" s="50">
        <f>ROUND(IF(AQ785="7",BH785,0),2)</f>
        <v>0</v>
      </c>
      <c r="AE785" s="50">
        <f>ROUND(IF(AQ785="7",BI785,0),2)</f>
        <v>0</v>
      </c>
      <c r="AF785" s="50">
        <f>ROUND(IF(AQ785="2",BH785,0),2)</f>
        <v>0</v>
      </c>
      <c r="AG785" s="50">
        <f>ROUND(IF(AQ785="2",BI785,0),2)</f>
        <v>0</v>
      </c>
      <c r="AH785" s="50">
        <f>ROUND(IF(AQ785="0",BJ785,0),2)</f>
        <v>0</v>
      </c>
      <c r="AI785" s="32" t="s">
        <v>4</v>
      </c>
      <c r="AJ785" s="50">
        <f>IF(AN785=0,J785,0)</f>
        <v>0</v>
      </c>
      <c r="AK785" s="50">
        <f>IF(AN785=12,J785,0)</f>
        <v>0</v>
      </c>
      <c r="AL785" s="50">
        <f>IF(AN785=21,J785,0)</f>
        <v>0</v>
      </c>
      <c r="AN785" s="50">
        <v>21</v>
      </c>
      <c r="AO785" s="50">
        <f>G785*1</f>
        <v>0</v>
      </c>
      <c r="AP785" s="50">
        <f>G785*(1-1)</f>
        <v>0</v>
      </c>
      <c r="AQ785" s="52" t="s">
        <v>158</v>
      </c>
      <c r="AV785" s="50">
        <f>ROUND(AW785+AX785,2)</f>
        <v>0</v>
      </c>
      <c r="AW785" s="50">
        <f>ROUND(F785*AO785,2)</f>
        <v>0</v>
      </c>
      <c r="AX785" s="50">
        <f>ROUND(F785*AP785,2)</f>
        <v>0</v>
      </c>
      <c r="AY785" s="52" t="s">
        <v>1232</v>
      </c>
      <c r="AZ785" s="52" t="s">
        <v>1090</v>
      </c>
      <c r="BA785" s="32" t="s">
        <v>119</v>
      </c>
      <c r="BC785" s="50">
        <f>AW785+AX785</f>
        <v>0</v>
      </c>
      <c r="BD785" s="50">
        <f>G785/(100-BE785)*100</f>
        <v>0</v>
      </c>
      <c r="BE785" s="50">
        <v>0</v>
      </c>
      <c r="BF785" s="50">
        <f>785</f>
        <v>785</v>
      </c>
      <c r="BH785" s="50">
        <f>F785*AO785</f>
        <v>0</v>
      </c>
      <c r="BI785" s="50">
        <f>F785*AP785</f>
        <v>0</v>
      </c>
      <c r="BJ785" s="50">
        <f>F785*G785</f>
        <v>0</v>
      </c>
      <c r="BK785" s="50"/>
      <c r="BL785" s="50">
        <v>766</v>
      </c>
      <c r="BW785" s="50">
        <v>21</v>
      </c>
      <c r="BX785" s="3" t="s">
        <v>1250</v>
      </c>
    </row>
    <row r="786" spans="1:76" ht="14.4" x14ac:dyDescent="0.3">
      <c r="A786" s="53"/>
      <c r="C786" s="54" t="s">
        <v>112</v>
      </c>
      <c r="D786" s="54" t="s">
        <v>4</v>
      </c>
      <c r="F786" s="55">
        <v>1</v>
      </c>
      <c r="K786" s="56"/>
    </row>
    <row r="787" spans="1:76" ht="14.4" x14ac:dyDescent="0.3">
      <c r="A787" s="1" t="s">
        <v>1251</v>
      </c>
      <c r="B787" s="2" t="s">
        <v>1252</v>
      </c>
      <c r="C787" s="75" t="s">
        <v>1253</v>
      </c>
      <c r="D787" s="70"/>
      <c r="E787" s="2" t="s">
        <v>278</v>
      </c>
      <c r="F787" s="50">
        <v>1</v>
      </c>
      <c r="G787" s="50">
        <v>0</v>
      </c>
      <c r="H787" s="50">
        <f>ROUND(F787*AO787,2)</f>
        <v>0</v>
      </c>
      <c r="I787" s="50">
        <f>ROUND(F787*AP787,2)</f>
        <v>0</v>
      </c>
      <c r="J787" s="50">
        <f>ROUND(F787*G787,2)</f>
        <v>0</v>
      </c>
      <c r="K787" s="51" t="s">
        <v>116</v>
      </c>
      <c r="Z787" s="50">
        <f>ROUND(IF(AQ787="5",BJ787,0),2)</f>
        <v>0</v>
      </c>
      <c r="AB787" s="50">
        <f>ROUND(IF(AQ787="1",BH787,0),2)</f>
        <v>0</v>
      </c>
      <c r="AC787" s="50">
        <f>ROUND(IF(AQ787="1",BI787,0),2)</f>
        <v>0</v>
      </c>
      <c r="AD787" s="50">
        <f>ROUND(IF(AQ787="7",BH787,0),2)</f>
        <v>0</v>
      </c>
      <c r="AE787" s="50">
        <f>ROUND(IF(AQ787="7",BI787,0),2)</f>
        <v>0</v>
      </c>
      <c r="AF787" s="50">
        <f>ROUND(IF(AQ787="2",BH787,0),2)</f>
        <v>0</v>
      </c>
      <c r="AG787" s="50">
        <f>ROUND(IF(AQ787="2",BI787,0),2)</f>
        <v>0</v>
      </c>
      <c r="AH787" s="50">
        <f>ROUND(IF(AQ787="0",BJ787,0),2)</f>
        <v>0</v>
      </c>
      <c r="AI787" s="32" t="s">
        <v>4</v>
      </c>
      <c r="AJ787" s="50">
        <f>IF(AN787=0,J787,0)</f>
        <v>0</v>
      </c>
      <c r="AK787" s="50">
        <f>IF(AN787=12,J787,0)</f>
        <v>0</v>
      </c>
      <c r="AL787" s="50">
        <f>IF(AN787=21,J787,0)</f>
        <v>0</v>
      </c>
      <c r="AN787" s="50">
        <v>21</v>
      </c>
      <c r="AO787" s="50">
        <f>G787*1</f>
        <v>0</v>
      </c>
      <c r="AP787" s="50">
        <f>G787*(1-1)</f>
        <v>0</v>
      </c>
      <c r="AQ787" s="52" t="s">
        <v>158</v>
      </c>
      <c r="AV787" s="50">
        <f>ROUND(AW787+AX787,2)</f>
        <v>0</v>
      </c>
      <c r="AW787" s="50">
        <f>ROUND(F787*AO787,2)</f>
        <v>0</v>
      </c>
      <c r="AX787" s="50">
        <f>ROUND(F787*AP787,2)</f>
        <v>0</v>
      </c>
      <c r="AY787" s="52" t="s">
        <v>1232</v>
      </c>
      <c r="AZ787" s="52" t="s">
        <v>1090</v>
      </c>
      <c r="BA787" s="32" t="s">
        <v>119</v>
      </c>
      <c r="BC787" s="50">
        <f>AW787+AX787</f>
        <v>0</v>
      </c>
      <c r="BD787" s="50">
        <f>G787/(100-BE787)*100</f>
        <v>0</v>
      </c>
      <c r="BE787" s="50">
        <v>0</v>
      </c>
      <c r="BF787" s="50">
        <f>787</f>
        <v>787</v>
      </c>
      <c r="BH787" s="50">
        <f>F787*AO787</f>
        <v>0</v>
      </c>
      <c r="BI787" s="50">
        <f>F787*AP787</f>
        <v>0</v>
      </c>
      <c r="BJ787" s="50">
        <f>F787*G787</f>
        <v>0</v>
      </c>
      <c r="BK787" s="50"/>
      <c r="BL787" s="50">
        <v>766</v>
      </c>
      <c r="BW787" s="50">
        <v>21</v>
      </c>
      <c r="BX787" s="3" t="s">
        <v>1253</v>
      </c>
    </row>
    <row r="788" spans="1:76" ht="14.4" x14ac:dyDescent="0.3">
      <c r="A788" s="53"/>
      <c r="C788" s="54" t="s">
        <v>112</v>
      </c>
      <c r="D788" s="54" t="s">
        <v>4</v>
      </c>
      <c r="F788" s="55">
        <v>1</v>
      </c>
      <c r="K788" s="56"/>
    </row>
    <row r="789" spans="1:76" ht="14.4" x14ac:dyDescent="0.3">
      <c r="A789" s="1" t="s">
        <v>1254</v>
      </c>
      <c r="B789" s="2" t="s">
        <v>1255</v>
      </c>
      <c r="C789" s="75" t="s">
        <v>1256</v>
      </c>
      <c r="D789" s="70"/>
      <c r="E789" s="2" t="s">
        <v>278</v>
      </c>
      <c r="F789" s="50">
        <v>10</v>
      </c>
      <c r="G789" s="50">
        <v>0</v>
      </c>
      <c r="H789" s="50">
        <f>ROUND(F789*AO789,2)</f>
        <v>0</v>
      </c>
      <c r="I789" s="50">
        <f>ROUND(F789*AP789,2)</f>
        <v>0</v>
      </c>
      <c r="J789" s="50">
        <f>ROUND(F789*G789,2)</f>
        <v>0</v>
      </c>
      <c r="K789" s="51" t="s">
        <v>116</v>
      </c>
      <c r="Z789" s="50">
        <f>ROUND(IF(AQ789="5",BJ789,0),2)</f>
        <v>0</v>
      </c>
      <c r="AB789" s="50">
        <f>ROUND(IF(AQ789="1",BH789,0),2)</f>
        <v>0</v>
      </c>
      <c r="AC789" s="50">
        <f>ROUND(IF(AQ789="1",BI789,0),2)</f>
        <v>0</v>
      </c>
      <c r="AD789" s="50">
        <f>ROUND(IF(AQ789="7",BH789,0),2)</f>
        <v>0</v>
      </c>
      <c r="AE789" s="50">
        <f>ROUND(IF(AQ789="7",BI789,0),2)</f>
        <v>0</v>
      </c>
      <c r="AF789" s="50">
        <f>ROUND(IF(AQ789="2",BH789,0),2)</f>
        <v>0</v>
      </c>
      <c r="AG789" s="50">
        <f>ROUND(IF(AQ789="2",BI789,0),2)</f>
        <v>0</v>
      </c>
      <c r="AH789" s="50">
        <f>ROUND(IF(AQ789="0",BJ789,0),2)</f>
        <v>0</v>
      </c>
      <c r="AI789" s="32" t="s">
        <v>4</v>
      </c>
      <c r="AJ789" s="50">
        <f>IF(AN789=0,J789,0)</f>
        <v>0</v>
      </c>
      <c r="AK789" s="50">
        <f>IF(AN789=12,J789,0)</f>
        <v>0</v>
      </c>
      <c r="AL789" s="50">
        <f>IF(AN789=21,J789,0)</f>
        <v>0</v>
      </c>
      <c r="AN789" s="50">
        <v>21</v>
      </c>
      <c r="AO789" s="50">
        <f>G789*0</f>
        <v>0</v>
      </c>
      <c r="AP789" s="50">
        <f>G789*(1-0)</f>
        <v>0</v>
      </c>
      <c r="AQ789" s="52" t="s">
        <v>158</v>
      </c>
      <c r="AV789" s="50">
        <f>ROUND(AW789+AX789,2)</f>
        <v>0</v>
      </c>
      <c r="AW789" s="50">
        <f>ROUND(F789*AO789,2)</f>
        <v>0</v>
      </c>
      <c r="AX789" s="50">
        <f>ROUND(F789*AP789,2)</f>
        <v>0</v>
      </c>
      <c r="AY789" s="52" t="s">
        <v>1232</v>
      </c>
      <c r="AZ789" s="52" t="s">
        <v>1090</v>
      </c>
      <c r="BA789" s="32" t="s">
        <v>119</v>
      </c>
      <c r="BC789" s="50">
        <f>AW789+AX789</f>
        <v>0</v>
      </c>
      <c r="BD789" s="50">
        <f>G789/(100-BE789)*100</f>
        <v>0</v>
      </c>
      <c r="BE789" s="50">
        <v>0</v>
      </c>
      <c r="BF789" s="50">
        <f>789</f>
        <v>789</v>
      </c>
      <c r="BH789" s="50">
        <f>F789*AO789</f>
        <v>0</v>
      </c>
      <c r="BI789" s="50">
        <f>F789*AP789</f>
        <v>0</v>
      </c>
      <c r="BJ789" s="50">
        <f>F789*G789</f>
        <v>0</v>
      </c>
      <c r="BK789" s="50"/>
      <c r="BL789" s="50">
        <v>766</v>
      </c>
      <c r="BW789" s="50">
        <v>21</v>
      </c>
      <c r="BX789" s="3" t="s">
        <v>1256</v>
      </c>
    </row>
    <row r="790" spans="1:76" ht="14.4" x14ac:dyDescent="0.3">
      <c r="A790" s="53"/>
      <c r="C790" s="54" t="s">
        <v>1257</v>
      </c>
      <c r="D790" s="54" t="s">
        <v>4</v>
      </c>
      <c r="F790" s="55">
        <v>10</v>
      </c>
      <c r="K790" s="56"/>
    </row>
    <row r="791" spans="1:76" ht="14.4" x14ac:dyDescent="0.3">
      <c r="A791" s="1" t="s">
        <v>1258</v>
      </c>
      <c r="B791" s="2" t="s">
        <v>1259</v>
      </c>
      <c r="C791" s="75" t="s">
        <v>1260</v>
      </c>
      <c r="D791" s="70"/>
      <c r="E791" s="2" t="s">
        <v>278</v>
      </c>
      <c r="F791" s="50">
        <v>10</v>
      </c>
      <c r="G791" s="50">
        <v>0</v>
      </c>
      <c r="H791" s="50">
        <f>ROUND(F791*AO791,2)</f>
        <v>0</v>
      </c>
      <c r="I791" s="50">
        <f>ROUND(F791*AP791,2)</f>
        <v>0</v>
      </c>
      <c r="J791" s="50">
        <f>ROUND(F791*G791,2)</f>
        <v>0</v>
      </c>
      <c r="K791" s="51" t="s">
        <v>116</v>
      </c>
      <c r="Z791" s="50">
        <f>ROUND(IF(AQ791="5",BJ791,0),2)</f>
        <v>0</v>
      </c>
      <c r="AB791" s="50">
        <f>ROUND(IF(AQ791="1",BH791,0),2)</f>
        <v>0</v>
      </c>
      <c r="AC791" s="50">
        <f>ROUND(IF(AQ791="1",BI791,0),2)</f>
        <v>0</v>
      </c>
      <c r="AD791" s="50">
        <f>ROUND(IF(AQ791="7",BH791,0),2)</f>
        <v>0</v>
      </c>
      <c r="AE791" s="50">
        <f>ROUND(IF(AQ791="7",BI791,0),2)</f>
        <v>0</v>
      </c>
      <c r="AF791" s="50">
        <f>ROUND(IF(AQ791="2",BH791,0),2)</f>
        <v>0</v>
      </c>
      <c r="AG791" s="50">
        <f>ROUND(IF(AQ791="2",BI791,0),2)</f>
        <v>0</v>
      </c>
      <c r="AH791" s="50">
        <f>ROUND(IF(AQ791="0",BJ791,0),2)</f>
        <v>0</v>
      </c>
      <c r="AI791" s="32" t="s">
        <v>4</v>
      </c>
      <c r="AJ791" s="50">
        <f>IF(AN791=0,J791,0)</f>
        <v>0</v>
      </c>
      <c r="AK791" s="50">
        <f>IF(AN791=12,J791,0)</f>
        <v>0</v>
      </c>
      <c r="AL791" s="50">
        <f>IF(AN791=21,J791,0)</f>
        <v>0</v>
      </c>
      <c r="AN791" s="50">
        <v>21</v>
      </c>
      <c r="AO791" s="50">
        <f>G791*1</f>
        <v>0</v>
      </c>
      <c r="AP791" s="50">
        <f>G791*(1-1)</f>
        <v>0</v>
      </c>
      <c r="AQ791" s="52" t="s">
        <v>158</v>
      </c>
      <c r="AV791" s="50">
        <f>ROUND(AW791+AX791,2)</f>
        <v>0</v>
      </c>
      <c r="AW791" s="50">
        <f>ROUND(F791*AO791,2)</f>
        <v>0</v>
      </c>
      <c r="AX791" s="50">
        <f>ROUND(F791*AP791,2)</f>
        <v>0</v>
      </c>
      <c r="AY791" s="52" t="s">
        <v>1232</v>
      </c>
      <c r="AZ791" s="52" t="s">
        <v>1090</v>
      </c>
      <c r="BA791" s="32" t="s">
        <v>119</v>
      </c>
      <c r="BC791" s="50">
        <f>AW791+AX791</f>
        <v>0</v>
      </c>
      <c r="BD791" s="50">
        <f>G791/(100-BE791)*100</f>
        <v>0</v>
      </c>
      <c r="BE791" s="50">
        <v>0</v>
      </c>
      <c r="BF791" s="50">
        <f>791</f>
        <v>791</v>
      </c>
      <c r="BH791" s="50">
        <f>F791*AO791</f>
        <v>0</v>
      </c>
      <c r="BI791" s="50">
        <f>F791*AP791</f>
        <v>0</v>
      </c>
      <c r="BJ791" s="50">
        <f>F791*G791</f>
        <v>0</v>
      </c>
      <c r="BK791" s="50"/>
      <c r="BL791" s="50">
        <v>766</v>
      </c>
      <c r="BW791" s="50">
        <v>21</v>
      </c>
      <c r="BX791" s="3" t="s">
        <v>1260</v>
      </c>
    </row>
    <row r="792" spans="1:76" ht="14.4" x14ac:dyDescent="0.3">
      <c r="A792" s="53"/>
      <c r="C792" s="54" t="s">
        <v>170</v>
      </c>
      <c r="D792" s="54" t="s">
        <v>4</v>
      </c>
      <c r="F792" s="55">
        <v>10</v>
      </c>
      <c r="K792" s="56"/>
    </row>
    <row r="793" spans="1:76" ht="14.4" x14ac:dyDescent="0.3">
      <c r="A793" s="1" t="s">
        <v>1261</v>
      </c>
      <c r="B793" s="2" t="s">
        <v>1262</v>
      </c>
      <c r="C793" s="75" t="s">
        <v>1263</v>
      </c>
      <c r="D793" s="70"/>
      <c r="E793" s="2" t="s">
        <v>278</v>
      </c>
      <c r="F793" s="50">
        <v>3</v>
      </c>
      <c r="G793" s="50">
        <v>0</v>
      </c>
      <c r="H793" s="50">
        <f>ROUND(F793*AO793,2)</f>
        <v>0</v>
      </c>
      <c r="I793" s="50">
        <f>ROUND(F793*AP793,2)</f>
        <v>0</v>
      </c>
      <c r="J793" s="50">
        <f>ROUND(F793*G793,2)</f>
        <v>0</v>
      </c>
      <c r="K793" s="51" t="s">
        <v>116</v>
      </c>
      <c r="Z793" s="50">
        <f>ROUND(IF(AQ793="5",BJ793,0),2)</f>
        <v>0</v>
      </c>
      <c r="AB793" s="50">
        <f>ROUND(IF(AQ793="1",BH793,0),2)</f>
        <v>0</v>
      </c>
      <c r="AC793" s="50">
        <f>ROUND(IF(AQ793="1",BI793,0),2)</f>
        <v>0</v>
      </c>
      <c r="AD793" s="50">
        <f>ROUND(IF(AQ793="7",BH793,0),2)</f>
        <v>0</v>
      </c>
      <c r="AE793" s="50">
        <f>ROUND(IF(AQ793="7",BI793,0),2)</f>
        <v>0</v>
      </c>
      <c r="AF793" s="50">
        <f>ROUND(IF(AQ793="2",BH793,0),2)</f>
        <v>0</v>
      </c>
      <c r="AG793" s="50">
        <f>ROUND(IF(AQ793="2",BI793,0),2)</f>
        <v>0</v>
      </c>
      <c r="AH793" s="50">
        <f>ROUND(IF(AQ793="0",BJ793,0),2)</f>
        <v>0</v>
      </c>
      <c r="AI793" s="32" t="s">
        <v>4</v>
      </c>
      <c r="AJ793" s="50">
        <f>IF(AN793=0,J793,0)</f>
        <v>0</v>
      </c>
      <c r="AK793" s="50">
        <f>IF(AN793=12,J793,0)</f>
        <v>0</v>
      </c>
      <c r="AL793" s="50">
        <f>IF(AN793=21,J793,0)</f>
        <v>0</v>
      </c>
      <c r="AN793" s="50">
        <v>21</v>
      </c>
      <c r="AO793" s="50">
        <f>G793*0.003031895</f>
        <v>0</v>
      </c>
      <c r="AP793" s="50">
        <f>G793*(1-0.003031895)</f>
        <v>0</v>
      </c>
      <c r="AQ793" s="52" t="s">
        <v>158</v>
      </c>
      <c r="AV793" s="50">
        <f>ROUND(AW793+AX793,2)</f>
        <v>0</v>
      </c>
      <c r="AW793" s="50">
        <f>ROUND(F793*AO793,2)</f>
        <v>0</v>
      </c>
      <c r="AX793" s="50">
        <f>ROUND(F793*AP793,2)</f>
        <v>0</v>
      </c>
      <c r="AY793" s="52" t="s">
        <v>1232</v>
      </c>
      <c r="AZ793" s="52" t="s">
        <v>1090</v>
      </c>
      <c r="BA793" s="32" t="s">
        <v>119</v>
      </c>
      <c r="BC793" s="50">
        <f>AW793+AX793</f>
        <v>0</v>
      </c>
      <c r="BD793" s="50">
        <f>G793/(100-BE793)*100</f>
        <v>0</v>
      </c>
      <c r="BE793" s="50">
        <v>0</v>
      </c>
      <c r="BF793" s="50">
        <f>793</f>
        <v>793</v>
      </c>
      <c r="BH793" s="50">
        <f>F793*AO793</f>
        <v>0</v>
      </c>
      <c r="BI793" s="50">
        <f>F793*AP793</f>
        <v>0</v>
      </c>
      <c r="BJ793" s="50">
        <f>F793*G793</f>
        <v>0</v>
      </c>
      <c r="BK793" s="50"/>
      <c r="BL793" s="50">
        <v>766</v>
      </c>
      <c r="BW793" s="50">
        <v>21</v>
      </c>
      <c r="BX793" s="3" t="s">
        <v>1263</v>
      </c>
    </row>
    <row r="794" spans="1:76" ht="14.4" x14ac:dyDescent="0.3">
      <c r="A794" s="53"/>
      <c r="C794" s="54" t="s">
        <v>135</v>
      </c>
      <c r="D794" s="54" t="s">
        <v>4</v>
      </c>
      <c r="F794" s="55">
        <v>3</v>
      </c>
      <c r="K794" s="56"/>
    </row>
    <row r="795" spans="1:76" ht="26.4" x14ac:dyDescent="0.3">
      <c r="A795" s="1" t="s">
        <v>1264</v>
      </c>
      <c r="B795" s="2" t="s">
        <v>1265</v>
      </c>
      <c r="C795" s="75" t="s">
        <v>1266</v>
      </c>
      <c r="D795" s="70"/>
      <c r="E795" s="2" t="s">
        <v>278</v>
      </c>
      <c r="F795" s="50">
        <v>3</v>
      </c>
      <c r="G795" s="50">
        <v>0</v>
      </c>
      <c r="H795" s="50">
        <f>ROUND(F795*AO795,2)</f>
        <v>0</v>
      </c>
      <c r="I795" s="50">
        <f>ROUND(F795*AP795,2)</f>
        <v>0</v>
      </c>
      <c r="J795" s="50">
        <f>ROUND(F795*G795,2)</f>
        <v>0</v>
      </c>
      <c r="K795" s="51" t="s">
        <v>116</v>
      </c>
      <c r="Z795" s="50">
        <f>ROUND(IF(AQ795="5",BJ795,0),2)</f>
        <v>0</v>
      </c>
      <c r="AB795" s="50">
        <f>ROUND(IF(AQ795="1",BH795,0),2)</f>
        <v>0</v>
      </c>
      <c r="AC795" s="50">
        <f>ROUND(IF(AQ795="1",BI795,0),2)</f>
        <v>0</v>
      </c>
      <c r="AD795" s="50">
        <f>ROUND(IF(AQ795="7",BH795,0),2)</f>
        <v>0</v>
      </c>
      <c r="AE795" s="50">
        <f>ROUND(IF(AQ795="7",BI795,0),2)</f>
        <v>0</v>
      </c>
      <c r="AF795" s="50">
        <f>ROUND(IF(AQ795="2",BH795,0),2)</f>
        <v>0</v>
      </c>
      <c r="AG795" s="50">
        <f>ROUND(IF(AQ795="2",BI795,0),2)</f>
        <v>0</v>
      </c>
      <c r="AH795" s="50">
        <f>ROUND(IF(AQ795="0",BJ795,0),2)</f>
        <v>0</v>
      </c>
      <c r="AI795" s="32" t="s">
        <v>4</v>
      </c>
      <c r="AJ795" s="50">
        <f>IF(AN795=0,J795,0)</f>
        <v>0</v>
      </c>
      <c r="AK795" s="50">
        <f>IF(AN795=12,J795,0)</f>
        <v>0</v>
      </c>
      <c r="AL795" s="50">
        <f>IF(AN795=21,J795,0)</f>
        <v>0</v>
      </c>
      <c r="AN795" s="50">
        <v>21</v>
      </c>
      <c r="AO795" s="50">
        <f>G795*1</f>
        <v>0</v>
      </c>
      <c r="AP795" s="50">
        <f>G795*(1-1)</f>
        <v>0</v>
      </c>
      <c r="AQ795" s="52" t="s">
        <v>158</v>
      </c>
      <c r="AV795" s="50">
        <f>ROUND(AW795+AX795,2)</f>
        <v>0</v>
      </c>
      <c r="AW795" s="50">
        <f>ROUND(F795*AO795,2)</f>
        <v>0</v>
      </c>
      <c r="AX795" s="50">
        <f>ROUND(F795*AP795,2)</f>
        <v>0</v>
      </c>
      <c r="AY795" s="52" t="s">
        <v>1232</v>
      </c>
      <c r="AZ795" s="52" t="s">
        <v>1090</v>
      </c>
      <c r="BA795" s="32" t="s">
        <v>119</v>
      </c>
      <c r="BC795" s="50">
        <f>AW795+AX795</f>
        <v>0</v>
      </c>
      <c r="BD795" s="50">
        <f>G795/(100-BE795)*100</f>
        <v>0</v>
      </c>
      <c r="BE795" s="50">
        <v>0</v>
      </c>
      <c r="BF795" s="50">
        <f>795</f>
        <v>795</v>
      </c>
      <c r="BH795" s="50">
        <f>F795*AO795</f>
        <v>0</v>
      </c>
      <c r="BI795" s="50">
        <f>F795*AP795</f>
        <v>0</v>
      </c>
      <c r="BJ795" s="50">
        <f>F795*G795</f>
        <v>0</v>
      </c>
      <c r="BK795" s="50"/>
      <c r="BL795" s="50">
        <v>766</v>
      </c>
      <c r="BW795" s="50">
        <v>21</v>
      </c>
      <c r="BX795" s="3" t="s">
        <v>1266</v>
      </c>
    </row>
    <row r="796" spans="1:76" ht="14.4" x14ac:dyDescent="0.3">
      <c r="A796" s="53"/>
      <c r="C796" s="54" t="s">
        <v>135</v>
      </c>
      <c r="D796" s="54" t="s">
        <v>4</v>
      </c>
      <c r="F796" s="55">
        <v>3</v>
      </c>
      <c r="K796" s="56"/>
    </row>
    <row r="797" spans="1:76" ht="14.4" x14ac:dyDescent="0.3">
      <c r="A797" s="1" t="s">
        <v>1267</v>
      </c>
      <c r="B797" s="2" t="s">
        <v>1268</v>
      </c>
      <c r="C797" s="75" t="s">
        <v>1269</v>
      </c>
      <c r="D797" s="70"/>
      <c r="E797" s="2" t="s">
        <v>278</v>
      </c>
      <c r="F797" s="50">
        <v>3</v>
      </c>
      <c r="G797" s="50">
        <v>0</v>
      </c>
      <c r="H797" s="50">
        <f>ROUND(F797*AO797,2)</f>
        <v>0</v>
      </c>
      <c r="I797" s="50">
        <f>ROUND(F797*AP797,2)</f>
        <v>0</v>
      </c>
      <c r="J797" s="50">
        <f>ROUND(F797*G797,2)</f>
        <v>0</v>
      </c>
      <c r="K797" s="51" t="s">
        <v>116</v>
      </c>
      <c r="Z797" s="50">
        <f>ROUND(IF(AQ797="5",BJ797,0),2)</f>
        <v>0</v>
      </c>
      <c r="AB797" s="50">
        <f>ROUND(IF(AQ797="1",BH797,0),2)</f>
        <v>0</v>
      </c>
      <c r="AC797" s="50">
        <f>ROUND(IF(AQ797="1",BI797,0),2)</f>
        <v>0</v>
      </c>
      <c r="AD797" s="50">
        <f>ROUND(IF(AQ797="7",BH797,0),2)</f>
        <v>0</v>
      </c>
      <c r="AE797" s="50">
        <f>ROUND(IF(AQ797="7",BI797,0),2)</f>
        <v>0</v>
      </c>
      <c r="AF797" s="50">
        <f>ROUND(IF(AQ797="2",BH797,0),2)</f>
        <v>0</v>
      </c>
      <c r="AG797" s="50">
        <f>ROUND(IF(AQ797="2",BI797,0),2)</f>
        <v>0</v>
      </c>
      <c r="AH797" s="50">
        <f>ROUND(IF(AQ797="0",BJ797,0),2)</f>
        <v>0</v>
      </c>
      <c r="AI797" s="32" t="s">
        <v>4</v>
      </c>
      <c r="AJ797" s="50">
        <f>IF(AN797=0,J797,0)</f>
        <v>0</v>
      </c>
      <c r="AK797" s="50">
        <f>IF(AN797=12,J797,0)</f>
        <v>0</v>
      </c>
      <c r="AL797" s="50">
        <f>IF(AN797=21,J797,0)</f>
        <v>0</v>
      </c>
      <c r="AN797" s="50">
        <v>21</v>
      </c>
      <c r="AO797" s="50">
        <f>G797*0.017228145</f>
        <v>0</v>
      </c>
      <c r="AP797" s="50">
        <f>G797*(1-0.017228145)</f>
        <v>0</v>
      </c>
      <c r="AQ797" s="52" t="s">
        <v>158</v>
      </c>
      <c r="AV797" s="50">
        <f>ROUND(AW797+AX797,2)</f>
        <v>0</v>
      </c>
      <c r="AW797" s="50">
        <f>ROUND(F797*AO797,2)</f>
        <v>0</v>
      </c>
      <c r="AX797" s="50">
        <f>ROUND(F797*AP797,2)</f>
        <v>0</v>
      </c>
      <c r="AY797" s="52" t="s">
        <v>1232</v>
      </c>
      <c r="AZ797" s="52" t="s">
        <v>1090</v>
      </c>
      <c r="BA797" s="32" t="s">
        <v>119</v>
      </c>
      <c r="BC797" s="50">
        <f>AW797+AX797</f>
        <v>0</v>
      </c>
      <c r="BD797" s="50">
        <f>G797/(100-BE797)*100</f>
        <v>0</v>
      </c>
      <c r="BE797" s="50">
        <v>0</v>
      </c>
      <c r="BF797" s="50">
        <f>797</f>
        <v>797</v>
      </c>
      <c r="BH797" s="50">
        <f>F797*AO797</f>
        <v>0</v>
      </c>
      <c r="BI797" s="50">
        <f>F797*AP797</f>
        <v>0</v>
      </c>
      <c r="BJ797" s="50">
        <f>F797*G797</f>
        <v>0</v>
      </c>
      <c r="BK797" s="50"/>
      <c r="BL797" s="50">
        <v>766</v>
      </c>
      <c r="BW797" s="50">
        <v>21</v>
      </c>
      <c r="BX797" s="3" t="s">
        <v>1269</v>
      </c>
    </row>
    <row r="798" spans="1:76" ht="14.4" x14ac:dyDescent="0.3">
      <c r="A798" s="53"/>
      <c r="C798" s="54" t="s">
        <v>135</v>
      </c>
      <c r="D798" s="54" t="s">
        <v>4</v>
      </c>
      <c r="F798" s="55">
        <v>3</v>
      </c>
      <c r="K798" s="56"/>
    </row>
    <row r="799" spans="1:76" ht="14.4" x14ac:dyDescent="0.3">
      <c r="A799" s="1" t="s">
        <v>1270</v>
      </c>
      <c r="B799" s="2" t="s">
        <v>1271</v>
      </c>
      <c r="C799" s="75" t="s">
        <v>1272</v>
      </c>
      <c r="D799" s="70"/>
      <c r="E799" s="2" t="s">
        <v>278</v>
      </c>
      <c r="F799" s="50">
        <v>3</v>
      </c>
      <c r="G799" s="50">
        <v>0</v>
      </c>
      <c r="H799" s="50">
        <f>ROUND(F799*AO799,2)</f>
        <v>0</v>
      </c>
      <c r="I799" s="50">
        <f>ROUND(F799*AP799,2)</f>
        <v>0</v>
      </c>
      <c r="J799" s="50">
        <f>ROUND(F799*G799,2)</f>
        <v>0</v>
      </c>
      <c r="K799" s="51" t="s">
        <v>116</v>
      </c>
      <c r="Z799" s="50">
        <f>ROUND(IF(AQ799="5",BJ799,0),2)</f>
        <v>0</v>
      </c>
      <c r="AB799" s="50">
        <f>ROUND(IF(AQ799="1",BH799,0),2)</f>
        <v>0</v>
      </c>
      <c r="AC799" s="50">
        <f>ROUND(IF(AQ799="1",BI799,0),2)</f>
        <v>0</v>
      </c>
      <c r="AD799" s="50">
        <f>ROUND(IF(AQ799="7",BH799,0),2)</f>
        <v>0</v>
      </c>
      <c r="AE799" s="50">
        <f>ROUND(IF(AQ799="7",BI799,0),2)</f>
        <v>0</v>
      </c>
      <c r="AF799" s="50">
        <f>ROUND(IF(AQ799="2",BH799,0),2)</f>
        <v>0</v>
      </c>
      <c r="AG799" s="50">
        <f>ROUND(IF(AQ799="2",BI799,0),2)</f>
        <v>0</v>
      </c>
      <c r="AH799" s="50">
        <f>ROUND(IF(AQ799="0",BJ799,0),2)</f>
        <v>0</v>
      </c>
      <c r="AI799" s="32" t="s">
        <v>4</v>
      </c>
      <c r="AJ799" s="50">
        <f>IF(AN799=0,J799,0)</f>
        <v>0</v>
      </c>
      <c r="AK799" s="50">
        <f>IF(AN799=12,J799,0)</f>
        <v>0</v>
      </c>
      <c r="AL799" s="50">
        <f>IF(AN799=21,J799,0)</f>
        <v>0</v>
      </c>
      <c r="AN799" s="50">
        <v>21</v>
      </c>
      <c r="AO799" s="50">
        <f>G799*1</f>
        <v>0</v>
      </c>
      <c r="AP799" s="50">
        <f>G799*(1-1)</f>
        <v>0</v>
      </c>
      <c r="AQ799" s="52" t="s">
        <v>158</v>
      </c>
      <c r="AV799" s="50">
        <f>ROUND(AW799+AX799,2)</f>
        <v>0</v>
      </c>
      <c r="AW799" s="50">
        <f>ROUND(F799*AO799,2)</f>
        <v>0</v>
      </c>
      <c r="AX799" s="50">
        <f>ROUND(F799*AP799,2)</f>
        <v>0</v>
      </c>
      <c r="AY799" s="52" t="s">
        <v>1232</v>
      </c>
      <c r="AZ799" s="52" t="s">
        <v>1090</v>
      </c>
      <c r="BA799" s="32" t="s">
        <v>119</v>
      </c>
      <c r="BC799" s="50">
        <f>AW799+AX799</f>
        <v>0</v>
      </c>
      <c r="BD799" s="50">
        <f>G799/(100-BE799)*100</f>
        <v>0</v>
      </c>
      <c r="BE799" s="50">
        <v>0</v>
      </c>
      <c r="BF799" s="50">
        <f>799</f>
        <v>799</v>
      </c>
      <c r="BH799" s="50">
        <f>F799*AO799</f>
        <v>0</v>
      </c>
      <c r="BI799" s="50">
        <f>F799*AP799</f>
        <v>0</v>
      </c>
      <c r="BJ799" s="50">
        <f>F799*G799</f>
        <v>0</v>
      </c>
      <c r="BK799" s="50"/>
      <c r="BL799" s="50">
        <v>766</v>
      </c>
      <c r="BW799" s="50">
        <v>21</v>
      </c>
      <c r="BX799" s="3" t="s">
        <v>1272</v>
      </c>
    </row>
    <row r="800" spans="1:76" ht="14.4" x14ac:dyDescent="0.3">
      <c r="A800" s="53"/>
      <c r="C800" s="54" t="s">
        <v>135</v>
      </c>
      <c r="D800" s="54" t="s">
        <v>4</v>
      </c>
      <c r="F800" s="55">
        <v>3</v>
      </c>
      <c r="K800" s="56"/>
    </row>
    <row r="801" spans="1:76" ht="14.4" x14ac:dyDescent="0.3">
      <c r="A801" s="1" t="s">
        <v>1273</v>
      </c>
      <c r="B801" s="2" t="s">
        <v>1274</v>
      </c>
      <c r="C801" s="75" t="s">
        <v>1275</v>
      </c>
      <c r="D801" s="70"/>
      <c r="E801" s="2" t="s">
        <v>278</v>
      </c>
      <c r="F801" s="50">
        <v>3</v>
      </c>
      <c r="G801" s="50">
        <v>0</v>
      </c>
      <c r="H801" s="50">
        <f>ROUND(F801*AO801,2)</f>
        <v>0</v>
      </c>
      <c r="I801" s="50">
        <f>ROUND(F801*AP801,2)</f>
        <v>0</v>
      </c>
      <c r="J801" s="50">
        <f>ROUND(F801*G801,2)</f>
        <v>0</v>
      </c>
      <c r="K801" s="51" t="s">
        <v>116</v>
      </c>
      <c r="Z801" s="50">
        <f>ROUND(IF(AQ801="5",BJ801,0),2)</f>
        <v>0</v>
      </c>
      <c r="AB801" s="50">
        <f>ROUND(IF(AQ801="1",BH801,0),2)</f>
        <v>0</v>
      </c>
      <c r="AC801" s="50">
        <f>ROUND(IF(AQ801="1",BI801,0),2)</f>
        <v>0</v>
      </c>
      <c r="AD801" s="50">
        <f>ROUND(IF(AQ801="7",BH801,0),2)</f>
        <v>0</v>
      </c>
      <c r="AE801" s="50">
        <f>ROUND(IF(AQ801="7",BI801,0),2)</f>
        <v>0</v>
      </c>
      <c r="AF801" s="50">
        <f>ROUND(IF(AQ801="2",BH801,0),2)</f>
        <v>0</v>
      </c>
      <c r="AG801" s="50">
        <f>ROUND(IF(AQ801="2",BI801,0),2)</f>
        <v>0</v>
      </c>
      <c r="AH801" s="50">
        <f>ROUND(IF(AQ801="0",BJ801,0),2)</f>
        <v>0</v>
      </c>
      <c r="AI801" s="32" t="s">
        <v>4</v>
      </c>
      <c r="AJ801" s="50">
        <f>IF(AN801=0,J801,0)</f>
        <v>0</v>
      </c>
      <c r="AK801" s="50">
        <f>IF(AN801=12,J801,0)</f>
        <v>0</v>
      </c>
      <c r="AL801" s="50">
        <f>IF(AN801=21,J801,0)</f>
        <v>0</v>
      </c>
      <c r="AN801" s="50">
        <v>21</v>
      </c>
      <c r="AO801" s="50">
        <f>G801*0.017264957</f>
        <v>0</v>
      </c>
      <c r="AP801" s="50">
        <f>G801*(1-0.017264957)</f>
        <v>0</v>
      </c>
      <c r="AQ801" s="52" t="s">
        <v>158</v>
      </c>
      <c r="AV801" s="50">
        <f>ROUND(AW801+AX801,2)</f>
        <v>0</v>
      </c>
      <c r="AW801" s="50">
        <f>ROUND(F801*AO801,2)</f>
        <v>0</v>
      </c>
      <c r="AX801" s="50">
        <f>ROUND(F801*AP801,2)</f>
        <v>0</v>
      </c>
      <c r="AY801" s="52" t="s">
        <v>1232</v>
      </c>
      <c r="AZ801" s="52" t="s">
        <v>1090</v>
      </c>
      <c r="BA801" s="32" t="s">
        <v>119</v>
      </c>
      <c r="BC801" s="50">
        <f>AW801+AX801</f>
        <v>0</v>
      </c>
      <c r="BD801" s="50">
        <f>G801/(100-BE801)*100</f>
        <v>0</v>
      </c>
      <c r="BE801" s="50">
        <v>0</v>
      </c>
      <c r="BF801" s="50">
        <f>801</f>
        <v>801</v>
      </c>
      <c r="BH801" s="50">
        <f>F801*AO801</f>
        <v>0</v>
      </c>
      <c r="BI801" s="50">
        <f>F801*AP801</f>
        <v>0</v>
      </c>
      <c r="BJ801" s="50">
        <f>F801*G801</f>
        <v>0</v>
      </c>
      <c r="BK801" s="50"/>
      <c r="BL801" s="50">
        <v>766</v>
      </c>
      <c r="BW801" s="50">
        <v>21</v>
      </c>
      <c r="BX801" s="3" t="s">
        <v>1275</v>
      </c>
    </row>
    <row r="802" spans="1:76" ht="14.4" x14ac:dyDescent="0.3">
      <c r="A802" s="53"/>
      <c r="C802" s="54" t="s">
        <v>135</v>
      </c>
      <c r="D802" s="54" t="s">
        <v>4</v>
      </c>
      <c r="F802" s="55">
        <v>3</v>
      </c>
      <c r="K802" s="56"/>
    </row>
    <row r="803" spans="1:76" ht="14.4" x14ac:dyDescent="0.3">
      <c r="A803" s="1" t="s">
        <v>1276</v>
      </c>
      <c r="B803" s="2" t="s">
        <v>1277</v>
      </c>
      <c r="C803" s="75" t="s">
        <v>1278</v>
      </c>
      <c r="D803" s="70"/>
      <c r="E803" s="2" t="s">
        <v>278</v>
      </c>
      <c r="F803" s="50">
        <v>3</v>
      </c>
      <c r="G803" s="50">
        <v>0</v>
      </c>
      <c r="H803" s="50">
        <f>ROUND(F803*AO803,2)</f>
        <v>0</v>
      </c>
      <c r="I803" s="50">
        <f>ROUND(F803*AP803,2)</f>
        <v>0</v>
      </c>
      <c r="J803" s="50">
        <f>ROUND(F803*G803,2)</f>
        <v>0</v>
      </c>
      <c r="K803" s="51" t="s">
        <v>116</v>
      </c>
      <c r="Z803" s="50">
        <f>ROUND(IF(AQ803="5",BJ803,0),2)</f>
        <v>0</v>
      </c>
      <c r="AB803" s="50">
        <f>ROUND(IF(AQ803="1",BH803,0),2)</f>
        <v>0</v>
      </c>
      <c r="AC803" s="50">
        <f>ROUND(IF(AQ803="1",BI803,0),2)</f>
        <v>0</v>
      </c>
      <c r="AD803" s="50">
        <f>ROUND(IF(AQ803="7",BH803,0),2)</f>
        <v>0</v>
      </c>
      <c r="AE803" s="50">
        <f>ROUND(IF(AQ803="7",BI803,0),2)</f>
        <v>0</v>
      </c>
      <c r="AF803" s="50">
        <f>ROUND(IF(AQ803="2",BH803,0),2)</f>
        <v>0</v>
      </c>
      <c r="AG803" s="50">
        <f>ROUND(IF(AQ803="2",BI803,0),2)</f>
        <v>0</v>
      </c>
      <c r="AH803" s="50">
        <f>ROUND(IF(AQ803="0",BJ803,0),2)</f>
        <v>0</v>
      </c>
      <c r="AI803" s="32" t="s">
        <v>4</v>
      </c>
      <c r="AJ803" s="50">
        <f>IF(AN803=0,J803,0)</f>
        <v>0</v>
      </c>
      <c r="AK803" s="50">
        <f>IF(AN803=12,J803,0)</f>
        <v>0</v>
      </c>
      <c r="AL803" s="50">
        <f>IF(AN803=21,J803,0)</f>
        <v>0</v>
      </c>
      <c r="AN803" s="50">
        <v>21</v>
      </c>
      <c r="AO803" s="50">
        <f>G803*1</f>
        <v>0</v>
      </c>
      <c r="AP803" s="50">
        <f>G803*(1-1)</f>
        <v>0</v>
      </c>
      <c r="AQ803" s="52" t="s">
        <v>158</v>
      </c>
      <c r="AV803" s="50">
        <f>ROUND(AW803+AX803,2)</f>
        <v>0</v>
      </c>
      <c r="AW803" s="50">
        <f>ROUND(F803*AO803,2)</f>
        <v>0</v>
      </c>
      <c r="AX803" s="50">
        <f>ROUND(F803*AP803,2)</f>
        <v>0</v>
      </c>
      <c r="AY803" s="52" t="s">
        <v>1232</v>
      </c>
      <c r="AZ803" s="52" t="s">
        <v>1090</v>
      </c>
      <c r="BA803" s="32" t="s">
        <v>119</v>
      </c>
      <c r="BC803" s="50">
        <f>AW803+AX803</f>
        <v>0</v>
      </c>
      <c r="BD803" s="50">
        <f>G803/(100-BE803)*100</f>
        <v>0</v>
      </c>
      <c r="BE803" s="50">
        <v>0</v>
      </c>
      <c r="BF803" s="50">
        <f>803</f>
        <v>803</v>
      </c>
      <c r="BH803" s="50">
        <f>F803*AO803</f>
        <v>0</v>
      </c>
      <c r="BI803" s="50">
        <f>F803*AP803</f>
        <v>0</v>
      </c>
      <c r="BJ803" s="50">
        <f>F803*G803</f>
        <v>0</v>
      </c>
      <c r="BK803" s="50"/>
      <c r="BL803" s="50">
        <v>766</v>
      </c>
      <c r="BW803" s="50">
        <v>21</v>
      </c>
      <c r="BX803" s="3" t="s">
        <v>1278</v>
      </c>
    </row>
    <row r="804" spans="1:76" ht="14.4" x14ac:dyDescent="0.3">
      <c r="A804" s="53"/>
      <c r="C804" s="54" t="s">
        <v>135</v>
      </c>
      <c r="D804" s="54" t="s">
        <v>4</v>
      </c>
      <c r="F804" s="55">
        <v>3</v>
      </c>
      <c r="K804" s="56"/>
    </row>
    <row r="805" spans="1:76" ht="14.4" x14ac:dyDescent="0.3">
      <c r="A805" s="1" t="s">
        <v>1279</v>
      </c>
      <c r="B805" s="2" t="s">
        <v>1280</v>
      </c>
      <c r="C805" s="75" t="s">
        <v>1281</v>
      </c>
      <c r="D805" s="70"/>
      <c r="E805" s="2" t="s">
        <v>216</v>
      </c>
      <c r="F805" s="50">
        <v>27.15</v>
      </c>
      <c r="G805" s="50">
        <v>0</v>
      </c>
      <c r="H805" s="50">
        <f>ROUND(F805*AO805,2)</f>
        <v>0</v>
      </c>
      <c r="I805" s="50">
        <f>ROUND(F805*AP805,2)</f>
        <v>0</v>
      </c>
      <c r="J805" s="50">
        <f>ROUND(F805*G805,2)</f>
        <v>0</v>
      </c>
      <c r="K805" s="51" t="s">
        <v>116</v>
      </c>
      <c r="Z805" s="50">
        <f>ROUND(IF(AQ805="5",BJ805,0),2)</f>
        <v>0</v>
      </c>
      <c r="AB805" s="50">
        <f>ROUND(IF(AQ805="1",BH805,0),2)</f>
        <v>0</v>
      </c>
      <c r="AC805" s="50">
        <f>ROUND(IF(AQ805="1",BI805,0),2)</f>
        <v>0</v>
      </c>
      <c r="AD805" s="50">
        <f>ROUND(IF(AQ805="7",BH805,0),2)</f>
        <v>0</v>
      </c>
      <c r="AE805" s="50">
        <f>ROUND(IF(AQ805="7",BI805,0),2)</f>
        <v>0</v>
      </c>
      <c r="AF805" s="50">
        <f>ROUND(IF(AQ805="2",BH805,0),2)</f>
        <v>0</v>
      </c>
      <c r="AG805" s="50">
        <f>ROUND(IF(AQ805="2",BI805,0),2)</f>
        <v>0</v>
      </c>
      <c r="AH805" s="50">
        <f>ROUND(IF(AQ805="0",BJ805,0),2)</f>
        <v>0</v>
      </c>
      <c r="AI805" s="32" t="s">
        <v>4</v>
      </c>
      <c r="AJ805" s="50">
        <f>IF(AN805=0,J805,0)</f>
        <v>0</v>
      </c>
      <c r="AK805" s="50">
        <f>IF(AN805=12,J805,0)</f>
        <v>0</v>
      </c>
      <c r="AL805" s="50">
        <f>IF(AN805=21,J805,0)</f>
        <v>0</v>
      </c>
      <c r="AN805" s="50">
        <v>21</v>
      </c>
      <c r="AO805" s="50">
        <f>G805*0.24037978</f>
        <v>0</v>
      </c>
      <c r="AP805" s="50">
        <f>G805*(1-0.24037978)</f>
        <v>0</v>
      </c>
      <c r="AQ805" s="52" t="s">
        <v>158</v>
      </c>
      <c r="AV805" s="50">
        <f>ROUND(AW805+AX805,2)</f>
        <v>0</v>
      </c>
      <c r="AW805" s="50">
        <f>ROUND(F805*AO805,2)</f>
        <v>0</v>
      </c>
      <c r="AX805" s="50">
        <f>ROUND(F805*AP805,2)</f>
        <v>0</v>
      </c>
      <c r="AY805" s="52" t="s">
        <v>1232</v>
      </c>
      <c r="AZ805" s="52" t="s">
        <v>1090</v>
      </c>
      <c r="BA805" s="32" t="s">
        <v>119</v>
      </c>
      <c r="BC805" s="50">
        <f>AW805+AX805</f>
        <v>0</v>
      </c>
      <c r="BD805" s="50">
        <f>G805/(100-BE805)*100</f>
        <v>0</v>
      </c>
      <c r="BE805" s="50">
        <v>0</v>
      </c>
      <c r="BF805" s="50">
        <f>805</f>
        <v>805</v>
      </c>
      <c r="BH805" s="50">
        <f>F805*AO805</f>
        <v>0</v>
      </c>
      <c r="BI805" s="50">
        <f>F805*AP805</f>
        <v>0</v>
      </c>
      <c r="BJ805" s="50">
        <f>F805*G805</f>
        <v>0</v>
      </c>
      <c r="BK805" s="50"/>
      <c r="BL805" s="50">
        <v>766</v>
      </c>
      <c r="BW805" s="50">
        <v>21</v>
      </c>
      <c r="BX805" s="3" t="s">
        <v>1281</v>
      </c>
    </row>
    <row r="806" spans="1:76" ht="14.4" x14ac:dyDescent="0.3">
      <c r="A806" s="53"/>
      <c r="C806" s="54" t="s">
        <v>1282</v>
      </c>
      <c r="D806" s="54" t="s">
        <v>4</v>
      </c>
      <c r="F806" s="55">
        <v>27.15</v>
      </c>
      <c r="K806" s="56"/>
    </row>
    <row r="807" spans="1:76" ht="14.4" x14ac:dyDescent="0.3">
      <c r="A807" s="1" t="s">
        <v>1283</v>
      </c>
      <c r="B807" s="2" t="s">
        <v>1284</v>
      </c>
      <c r="C807" s="75" t="s">
        <v>1285</v>
      </c>
      <c r="D807" s="70"/>
      <c r="E807" s="2" t="s">
        <v>216</v>
      </c>
      <c r="F807" s="50">
        <v>29.864999999999998</v>
      </c>
      <c r="G807" s="50">
        <v>0</v>
      </c>
      <c r="H807" s="50">
        <f>ROUND(F807*AO807,2)</f>
        <v>0</v>
      </c>
      <c r="I807" s="50">
        <f>ROUND(F807*AP807,2)</f>
        <v>0</v>
      </c>
      <c r="J807" s="50">
        <f>ROUND(F807*G807,2)</f>
        <v>0</v>
      </c>
      <c r="K807" s="51" t="s">
        <v>116</v>
      </c>
      <c r="Z807" s="50">
        <f>ROUND(IF(AQ807="5",BJ807,0),2)</f>
        <v>0</v>
      </c>
      <c r="AB807" s="50">
        <f>ROUND(IF(AQ807="1",BH807,0),2)</f>
        <v>0</v>
      </c>
      <c r="AC807" s="50">
        <f>ROUND(IF(AQ807="1",BI807,0),2)</f>
        <v>0</v>
      </c>
      <c r="AD807" s="50">
        <f>ROUND(IF(AQ807="7",BH807,0),2)</f>
        <v>0</v>
      </c>
      <c r="AE807" s="50">
        <f>ROUND(IF(AQ807="7",BI807,0),2)</f>
        <v>0</v>
      </c>
      <c r="AF807" s="50">
        <f>ROUND(IF(AQ807="2",BH807,0),2)</f>
        <v>0</v>
      </c>
      <c r="AG807" s="50">
        <f>ROUND(IF(AQ807="2",BI807,0),2)</f>
        <v>0</v>
      </c>
      <c r="AH807" s="50">
        <f>ROUND(IF(AQ807="0",BJ807,0),2)</f>
        <v>0</v>
      </c>
      <c r="AI807" s="32" t="s">
        <v>4</v>
      </c>
      <c r="AJ807" s="50">
        <f>IF(AN807=0,J807,0)</f>
        <v>0</v>
      </c>
      <c r="AK807" s="50">
        <f>IF(AN807=12,J807,0)</f>
        <v>0</v>
      </c>
      <c r="AL807" s="50">
        <f>IF(AN807=21,J807,0)</f>
        <v>0</v>
      </c>
      <c r="AN807" s="50">
        <v>21</v>
      </c>
      <c r="AO807" s="50">
        <f>G807*1</f>
        <v>0</v>
      </c>
      <c r="AP807" s="50">
        <f>G807*(1-1)</f>
        <v>0</v>
      </c>
      <c r="AQ807" s="52" t="s">
        <v>158</v>
      </c>
      <c r="AV807" s="50">
        <f>ROUND(AW807+AX807,2)</f>
        <v>0</v>
      </c>
      <c r="AW807" s="50">
        <f>ROUND(F807*AO807,2)</f>
        <v>0</v>
      </c>
      <c r="AX807" s="50">
        <f>ROUND(F807*AP807,2)</f>
        <v>0</v>
      </c>
      <c r="AY807" s="52" t="s">
        <v>1232</v>
      </c>
      <c r="AZ807" s="52" t="s">
        <v>1090</v>
      </c>
      <c r="BA807" s="32" t="s">
        <v>119</v>
      </c>
      <c r="BC807" s="50">
        <f>AW807+AX807</f>
        <v>0</v>
      </c>
      <c r="BD807" s="50">
        <f>G807/(100-BE807)*100</f>
        <v>0</v>
      </c>
      <c r="BE807" s="50">
        <v>0</v>
      </c>
      <c r="BF807" s="50">
        <f>807</f>
        <v>807</v>
      </c>
      <c r="BH807" s="50">
        <f>F807*AO807</f>
        <v>0</v>
      </c>
      <c r="BI807" s="50">
        <f>F807*AP807</f>
        <v>0</v>
      </c>
      <c r="BJ807" s="50">
        <f>F807*G807</f>
        <v>0</v>
      </c>
      <c r="BK807" s="50"/>
      <c r="BL807" s="50">
        <v>766</v>
      </c>
      <c r="BW807" s="50">
        <v>21</v>
      </c>
      <c r="BX807" s="3" t="s">
        <v>1285</v>
      </c>
    </row>
    <row r="808" spans="1:76" ht="14.4" x14ac:dyDescent="0.3">
      <c r="A808" s="53"/>
      <c r="C808" s="54" t="s">
        <v>1282</v>
      </c>
      <c r="D808" s="54" t="s">
        <v>4</v>
      </c>
      <c r="F808" s="55">
        <v>27.15</v>
      </c>
      <c r="K808" s="56"/>
    </row>
    <row r="809" spans="1:76" ht="14.4" x14ac:dyDescent="0.3">
      <c r="A809" s="53"/>
      <c r="C809" s="54" t="s">
        <v>1286</v>
      </c>
      <c r="D809" s="54" t="s">
        <v>4</v>
      </c>
      <c r="F809" s="55">
        <v>2.7149999999999999</v>
      </c>
      <c r="K809" s="56"/>
    </row>
    <row r="810" spans="1:76" ht="14.4" x14ac:dyDescent="0.3">
      <c r="A810" s="1" t="s">
        <v>1287</v>
      </c>
      <c r="B810" s="2" t="s">
        <v>1288</v>
      </c>
      <c r="C810" s="75" t="s">
        <v>1289</v>
      </c>
      <c r="D810" s="70"/>
      <c r="E810" s="2" t="s">
        <v>233</v>
      </c>
      <c r="F810" s="50">
        <v>60</v>
      </c>
      <c r="G810" s="50">
        <v>0</v>
      </c>
      <c r="H810" s="50">
        <f>ROUND(F810*AO810,2)</f>
        <v>0</v>
      </c>
      <c r="I810" s="50">
        <f>ROUND(F810*AP810,2)</f>
        <v>0</v>
      </c>
      <c r="J810" s="50">
        <f>ROUND(F810*G810,2)</f>
        <v>0</v>
      </c>
      <c r="K810" s="51" t="s">
        <v>116</v>
      </c>
      <c r="Z810" s="50">
        <f>ROUND(IF(AQ810="5",BJ810,0),2)</f>
        <v>0</v>
      </c>
      <c r="AB810" s="50">
        <f>ROUND(IF(AQ810="1",BH810,0),2)</f>
        <v>0</v>
      </c>
      <c r="AC810" s="50">
        <f>ROUND(IF(AQ810="1",BI810,0),2)</f>
        <v>0</v>
      </c>
      <c r="AD810" s="50">
        <f>ROUND(IF(AQ810="7",BH810,0),2)</f>
        <v>0</v>
      </c>
      <c r="AE810" s="50">
        <f>ROUND(IF(AQ810="7",BI810,0),2)</f>
        <v>0</v>
      </c>
      <c r="AF810" s="50">
        <f>ROUND(IF(AQ810="2",BH810,0),2)</f>
        <v>0</v>
      </c>
      <c r="AG810" s="50">
        <f>ROUND(IF(AQ810="2",BI810,0),2)</f>
        <v>0</v>
      </c>
      <c r="AH810" s="50">
        <f>ROUND(IF(AQ810="0",BJ810,0),2)</f>
        <v>0</v>
      </c>
      <c r="AI810" s="32" t="s">
        <v>4</v>
      </c>
      <c r="AJ810" s="50">
        <f>IF(AN810=0,J810,0)</f>
        <v>0</v>
      </c>
      <c r="AK810" s="50">
        <f>IF(AN810=12,J810,0)</f>
        <v>0</v>
      </c>
      <c r="AL810" s="50">
        <f>IF(AN810=21,J810,0)</f>
        <v>0</v>
      </c>
      <c r="AN810" s="50">
        <v>21</v>
      </c>
      <c r="AO810" s="50">
        <f>G810*1</f>
        <v>0</v>
      </c>
      <c r="AP810" s="50">
        <f>G810*(1-1)</f>
        <v>0</v>
      </c>
      <c r="AQ810" s="52" t="s">
        <v>158</v>
      </c>
      <c r="AV810" s="50">
        <f>ROUND(AW810+AX810,2)</f>
        <v>0</v>
      </c>
      <c r="AW810" s="50">
        <f>ROUND(F810*AO810,2)</f>
        <v>0</v>
      </c>
      <c r="AX810" s="50">
        <f>ROUND(F810*AP810,2)</f>
        <v>0</v>
      </c>
      <c r="AY810" s="52" t="s">
        <v>1232</v>
      </c>
      <c r="AZ810" s="52" t="s">
        <v>1090</v>
      </c>
      <c r="BA810" s="32" t="s">
        <v>119</v>
      </c>
      <c r="BC810" s="50">
        <f>AW810+AX810</f>
        <v>0</v>
      </c>
      <c r="BD810" s="50">
        <f>G810/(100-BE810)*100</f>
        <v>0</v>
      </c>
      <c r="BE810" s="50">
        <v>0</v>
      </c>
      <c r="BF810" s="50">
        <f>810</f>
        <v>810</v>
      </c>
      <c r="BH810" s="50">
        <f>F810*AO810</f>
        <v>0</v>
      </c>
      <c r="BI810" s="50">
        <f>F810*AP810</f>
        <v>0</v>
      </c>
      <c r="BJ810" s="50">
        <f>F810*G810</f>
        <v>0</v>
      </c>
      <c r="BK810" s="50"/>
      <c r="BL810" s="50">
        <v>766</v>
      </c>
      <c r="BW810" s="50">
        <v>21</v>
      </c>
      <c r="BX810" s="3" t="s">
        <v>1289</v>
      </c>
    </row>
    <row r="811" spans="1:76" ht="14.4" x14ac:dyDescent="0.3">
      <c r="A811" s="53"/>
      <c r="C811" s="54" t="s">
        <v>1290</v>
      </c>
      <c r="D811" s="54" t="s">
        <v>4</v>
      </c>
      <c r="F811" s="55">
        <v>60</v>
      </c>
      <c r="K811" s="56"/>
    </row>
    <row r="812" spans="1:76" ht="14.4" x14ac:dyDescent="0.3">
      <c r="A812" s="1" t="s">
        <v>1291</v>
      </c>
      <c r="B812" s="2" t="s">
        <v>1292</v>
      </c>
      <c r="C812" s="75" t="s">
        <v>1293</v>
      </c>
      <c r="D812" s="70"/>
      <c r="E812" s="2" t="s">
        <v>233</v>
      </c>
      <c r="F812" s="50">
        <v>44.88</v>
      </c>
      <c r="G812" s="50">
        <v>0</v>
      </c>
      <c r="H812" s="50">
        <f>ROUND(F812*AO812,2)</f>
        <v>0</v>
      </c>
      <c r="I812" s="50">
        <f>ROUND(F812*AP812,2)</f>
        <v>0</v>
      </c>
      <c r="J812" s="50">
        <f>ROUND(F812*G812,2)</f>
        <v>0</v>
      </c>
      <c r="K812" s="51" t="s">
        <v>116</v>
      </c>
      <c r="Z812" s="50">
        <f>ROUND(IF(AQ812="5",BJ812,0),2)</f>
        <v>0</v>
      </c>
      <c r="AB812" s="50">
        <f>ROUND(IF(AQ812="1",BH812,0),2)</f>
        <v>0</v>
      </c>
      <c r="AC812" s="50">
        <f>ROUND(IF(AQ812="1",BI812,0),2)</f>
        <v>0</v>
      </c>
      <c r="AD812" s="50">
        <f>ROUND(IF(AQ812="7",BH812,0),2)</f>
        <v>0</v>
      </c>
      <c r="AE812" s="50">
        <f>ROUND(IF(AQ812="7",BI812,0),2)</f>
        <v>0</v>
      </c>
      <c r="AF812" s="50">
        <f>ROUND(IF(AQ812="2",BH812,0),2)</f>
        <v>0</v>
      </c>
      <c r="AG812" s="50">
        <f>ROUND(IF(AQ812="2",BI812,0),2)</f>
        <v>0</v>
      </c>
      <c r="AH812" s="50">
        <f>ROUND(IF(AQ812="0",BJ812,0),2)</f>
        <v>0</v>
      </c>
      <c r="AI812" s="32" t="s">
        <v>4</v>
      </c>
      <c r="AJ812" s="50">
        <f>IF(AN812=0,J812,0)</f>
        <v>0</v>
      </c>
      <c r="AK812" s="50">
        <f>IF(AN812=12,J812,0)</f>
        <v>0</v>
      </c>
      <c r="AL812" s="50">
        <f>IF(AN812=21,J812,0)</f>
        <v>0</v>
      </c>
      <c r="AN812" s="50">
        <v>21</v>
      </c>
      <c r="AO812" s="50">
        <f>G812*1</f>
        <v>0</v>
      </c>
      <c r="AP812" s="50">
        <f>G812*(1-1)</f>
        <v>0</v>
      </c>
      <c r="AQ812" s="52" t="s">
        <v>158</v>
      </c>
      <c r="AV812" s="50">
        <f>ROUND(AW812+AX812,2)</f>
        <v>0</v>
      </c>
      <c r="AW812" s="50">
        <f>ROUND(F812*AO812,2)</f>
        <v>0</v>
      </c>
      <c r="AX812" s="50">
        <f>ROUND(F812*AP812,2)</f>
        <v>0</v>
      </c>
      <c r="AY812" s="52" t="s">
        <v>1232</v>
      </c>
      <c r="AZ812" s="52" t="s">
        <v>1090</v>
      </c>
      <c r="BA812" s="32" t="s">
        <v>119</v>
      </c>
      <c r="BC812" s="50">
        <f>AW812+AX812</f>
        <v>0</v>
      </c>
      <c r="BD812" s="50">
        <f>G812/(100-BE812)*100</f>
        <v>0</v>
      </c>
      <c r="BE812" s="50">
        <v>0</v>
      </c>
      <c r="BF812" s="50">
        <f>812</f>
        <v>812</v>
      </c>
      <c r="BH812" s="50">
        <f>F812*AO812</f>
        <v>0</v>
      </c>
      <c r="BI812" s="50">
        <f>F812*AP812</f>
        <v>0</v>
      </c>
      <c r="BJ812" s="50">
        <f>F812*G812</f>
        <v>0</v>
      </c>
      <c r="BK812" s="50"/>
      <c r="BL812" s="50">
        <v>766</v>
      </c>
      <c r="BW812" s="50">
        <v>21</v>
      </c>
      <c r="BX812" s="3" t="s">
        <v>1293</v>
      </c>
    </row>
    <row r="813" spans="1:76" ht="14.4" x14ac:dyDescent="0.3">
      <c r="A813" s="53"/>
      <c r="C813" s="54" t="s">
        <v>1294</v>
      </c>
      <c r="D813" s="54" t="s">
        <v>4</v>
      </c>
      <c r="F813" s="55">
        <v>40.799999999999997</v>
      </c>
      <c r="K813" s="56"/>
    </row>
    <row r="814" spans="1:76" ht="14.4" x14ac:dyDescent="0.3">
      <c r="A814" s="53"/>
      <c r="C814" s="54" t="s">
        <v>1295</v>
      </c>
      <c r="D814" s="54" t="s">
        <v>4</v>
      </c>
      <c r="F814" s="55">
        <v>4.08</v>
      </c>
      <c r="K814" s="56"/>
    </row>
    <row r="815" spans="1:76" ht="14.4" x14ac:dyDescent="0.3">
      <c r="A815" s="1" t="s">
        <v>1296</v>
      </c>
      <c r="B815" s="2" t="s">
        <v>1297</v>
      </c>
      <c r="C815" s="75" t="s">
        <v>1298</v>
      </c>
      <c r="D815" s="70"/>
      <c r="E815" s="2" t="s">
        <v>233</v>
      </c>
      <c r="F815" s="50">
        <v>170.5</v>
      </c>
      <c r="G815" s="50">
        <v>0</v>
      </c>
      <c r="H815" s="50">
        <f>ROUND(F815*AO815,2)</f>
        <v>0</v>
      </c>
      <c r="I815" s="50">
        <f>ROUND(F815*AP815,2)</f>
        <v>0</v>
      </c>
      <c r="J815" s="50">
        <f>ROUND(F815*G815,2)</f>
        <v>0</v>
      </c>
      <c r="K815" s="51" t="s">
        <v>116</v>
      </c>
      <c r="Z815" s="50">
        <f>ROUND(IF(AQ815="5",BJ815,0),2)</f>
        <v>0</v>
      </c>
      <c r="AB815" s="50">
        <f>ROUND(IF(AQ815="1",BH815,0),2)</f>
        <v>0</v>
      </c>
      <c r="AC815" s="50">
        <f>ROUND(IF(AQ815="1",BI815,0),2)</f>
        <v>0</v>
      </c>
      <c r="AD815" s="50">
        <f>ROUND(IF(AQ815="7",BH815,0),2)</f>
        <v>0</v>
      </c>
      <c r="AE815" s="50">
        <f>ROUND(IF(AQ815="7",BI815,0),2)</f>
        <v>0</v>
      </c>
      <c r="AF815" s="50">
        <f>ROUND(IF(AQ815="2",BH815,0),2)</f>
        <v>0</v>
      </c>
      <c r="AG815" s="50">
        <f>ROUND(IF(AQ815="2",BI815,0),2)</f>
        <v>0</v>
      </c>
      <c r="AH815" s="50">
        <f>ROUND(IF(AQ815="0",BJ815,0),2)</f>
        <v>0</v>
      </c>
      <c r="AI815" s="32" t="s">
        <v>4</v>
      </c>
      <c r="AJ815" s="50">
        <f>IF(AN815=0,J815,0)</f>
        <v>0</v>
      </c>
      <c r="AK815" s="50">
        <f>IF(AN815=12,J815,0)</f>
        <v>0</v>
      </c>
      <c r="AL815" s="50">
        <f>IF(AN815=21,J815,0)</f>
        <v>0</v>
      </c>
      <c r="AN815" s="50">
        <v>21</v>
      </c>
      <c r="AO815" s="50">
        <f>G815*0.093043478</f>
        <v>0</v>
      </c>
      <c r="AP815" s="50">
        <f>G815*(1-0.093043478)</f>
        <v>0</v>
      </c>
      <c r="AQ815" s="52" t="s">
        <v>158</v>
      </c>
      <c r="AV815" s="50">
        <f>ROUND(AW815+AX815,2)</f>
        <v>0</v>
      </c>
      <c r="AW815" s="50">
        <f>ROUND(F815*AO815,2)</f>
        <v>0</v>
      </c>
      <c r="AX815" s="50">
        <f>ROUND(F815*AP815,2)</f>
        <v>0</v>
      </c>
      <c r="AY815" s="52" t="s">
        <v>1232</v>
      </c>
      <c r="AZ815" s="52" t="s">
        <v>1090</v>
      </c>
      <c r="BA815" s="32" t="s">
        <v>119</v>
      </c>
      <c r="BC815" s="50">
        <f>AW815+AX815</f>
        <v>0</v>
      </c>
      <c r="BD815" s="50">
        <f>G815/(100-BE815)*100</f>
        <v>0</v>
      </c>
      <c r="BE815" s="50">
        <v>0</v>
      </c>
      <c r="BF815" s="50">
        <f>815</f>
        <v>815</v>
      </c>
      <c r="BH815" s="50">
        <f>F815*AO815</f>
        <v>0</v>
      </c>
      <c r="BI815" s="50">
        <f>F815*AP815</f>
        <v>0</v>
      </c>
      <c r="BJ815" s="50">
        <f>F815*G815</f>
        <v>0</v>
      </c>
      <c r="BK815" s="50"/>
      <c r="BL815" s="50">
        <v>766</v>
      </c>
      <c r="BW815" s="50">
        <v>21</v>
      </c>
      <c r="BX815" s="3" t="s">
        <v>1298</v>
      </c>
    </row>
    <row r="816" spans="1:76" ht="14.4" x14ac:dyDescent="0.3">
      <c r="A816" s="53"/>
      <c r="C816" s="54" t="s">
        <v>1299</v>
      </c>
      <c r="D816" s="54" t="s">
        <v>4</v>
      </c>
      <c r="F816" s="55">
        <v>94.5</v>
      </c>
      <c r="K816" s="56"/>
    </row>
    <row r="817" spans="1:76" ht="14.4" x14ac:dyDescent="0.3">
      <c r="A817" s="53"/>
      <c r="C817" s="54" t="s">
        <v>487</v>
      </c>
      <c r="D817" s="54" t="s">
        <v>4</v>
      </c>
      <c r="F817" s="55">
        <v>76</v>
      </c>
      <c r="K817" s="56"/>
    </row>
    <row r="818" spans="1:76" ht="14.4" x14ac:dyDescent="0.3">
      <c r="A818" s="1" t="s">
        <v>1300</v>
      </c>
      <c r="B818" s="2" t="s">
        <v>1288</v>
      </c>
      <c r="C818" s="75" t="s">
        <v>1301</v>
      </c>
      <c r="D818" s="70"/>
      <c r="E818" s="2" t="s">
        <v>233</v>
      </c>
      <c r="F818" s="50">
        <v>179.02500000000001</v>
      </c>
      <c r="G818" s="50">
        <v>0</v>
      </c>
      <c r="H818" s="50">
        <f>ROUND(F818*AO818,2)</f>
        <v>0</v>
      </c>
      <c r="I818" s="50">
        <f>ROUND(F818*AP818,2)</f>
        <v>0</v>
      </c>
      <c r="J818" s="50">
        <f>ROUND(F818*G818,2)</f>
        <v>0</v>
      </c>
      <c r="K818" s="51" t="s">
        <v>116</v>
      </c>
      <c r="Z818" s="50">
        <f>ROUND(IF(AQ818="5",BJ818,0),2)</f>
        <v>0</v>
      </c>
      <c r="AB818" s="50">
        <f>ROUND(IF(AQ818="1",BH818,0),2)</f>
        <v>0</v>
      </c>
      <c r="AC818" s="50">
        <f>ROUND(IF(AQ818="1",BI818,0),2)</f>
        <v>0</v>
      </c>
      <c r="AD818" s="50">
        <f>ROUND(IF(AQ818="7",BH818,0),2)</f>
        <v>0</v>
      </c>
      <c r="AE818" s="50">
        <f>ROUND(IF(AQ818="7",BI818,0),2)</f>
        <v>0</v>
      </c>
      <c r="AF818" s="50">
        <f>ROUND(IF(AQ818="2",BH818,0),2)</f>
        <v>0</v>
      </c>
      <c r="AG818" s="50">
        <f>ROUND(IF(AQ818="2",BI818,0),2)</f>
        <v>0</v>
      </c>
      <c r="AH818" s="50">
        <f>ROUND(IF(AQ818="0",BJ818,0),2)</f>
        <v>0</v>
      </c>
      <c r="AI818" s="32" t="s">
        <v>4</v>
      </c>
      <c r="AJ818" s="50">
        <f>IF(AN818=0,J818,0)</f>
        <v>0</v>
      </c>
      <c r="AK818" s="50">
        <f>IF(AN818=12,J818,0)</f>
        <v>0</v>
      </c>
      <c r="AL818" s="50">
        <f>IF(AN818=21,J818,0)</f>
        <v>0</v>
      </c>
      <c r="AN818" s="50">
        <v>21</v>
      </c>
      <c r="AO818" s="50">
        <f>G818*1</f>
        <v>0</v>
      </c>
      <c r="AP818" s="50">
        <f>G818*(1-1)</f>
        <v>0</v>
      </c>
      <c r="AQ818" s="52" t="s">
        <v>158</v>
      </c>
      <c r="AV818" s="50">
        <f>ROUND(AW818+AX818,2)</f>
        <v>0</v>
      </c>
      <c r="AW818" s="50">
        <f>ROUND(F818*AO818,2)</f>
        <v>0</v>
      </c>
      <c r="AX818" s="50">
        <f>ROUND(F818*AP818,2)</f>
        <v>0</v>
      </c>
      <c r="AY818" s="52" t="s">
        <v>1232</v>
      </c>
      <c r="AZ818" s="52" t="s">
        <v>1090</v>
      </c>
      <c r="BA818" s="32" t="s">
        <v>119</v>
      </c>
      <c r="BC818" s="50">
        <f>AW818+AX818</f>
        <v>0</v>
      </c>
      <c r="BD818" s="50">
        <f>G818/(100-BE818)*100</f>
        <v>0</v>
      </c>
      <c r="BE818" s="50">
        <v>0</v>
      </c>
      <c r="BF818" s="50">
        <f>818</f>
        <v>818</v>
      </c>
      <c r="BH818" s="50">
        <f>F818*AO818</f>
        <v>0</v>
      </c>
      <c r="BI818" s="50">
        <f>F818*AP818</f>
        <v>0</v>
      </c>
      <c r="BJ818" s="50">
        <f>F818*G818</f>
        <v>0</v>
      </c>
      <c r="BK818" s="50"/>
      <c r="BL818" s="50">
        <v>766</v>
      </c>
      <c r="BW818" s="50">
        <v>21</v>
      </c>
      <c r="BX818" s="3" t="s">
        <v>1301</v>
      </c>
    </row>
    <row r="819" spans="1:76" ht="14.4" x14ac:dyDescent="0.3">
      <c r="A819" s="53"/>
      <c r="C819" s="54" t="s">
        <v>1302</v>
      </c>
      <c r="D819" s="54" t="s">
        <v>4</v>
      </c>
      <c r="F819" s="55">
        <v>170.5</v>
      </c>
      <c r="K819" s="56"/>
    </row>
    <row r="820" spans="1:76" ht="14.4" x14ac:dyDescent="0.3">
      <c r="A820" s="53"/>
      <c r="C820" s="54" t="s">
        <v>1303</v>
      </c>
      <c r="D820" s="54" t="s">
        <v>4</v>
      </c>
      <c r="F820" s="55">
        <v>8.5250000000000004</v>
      </c>
      <c r="K820" s="56"/>
    </row>
    <row r="821" spans="1:76" ht="14.4" x14ac:dyDescent="0.3">
      <c r="A821" s="1" t="s">
        <v>1304</v>
      </c>
      <c r="B821" s="2" t="s">
        <v>1305</v>
      </c>
      <c r="C821" s="75" t="s">
        <v>1306</v>
      </c>
      <c r="D821" s="70"/>
      <c r="E821" s="2" t="s">
        <v>216</v>
      </c>
      <c r="F821" s="50">
        <v>52.63</v>
      </c>
      <c r="G821" s="50">
        <v>0</v>
      </c>
      <c r="H821" s="50">
        <f>ROUND(F821*AO821,2)</f>
        <v>0</v>
      </c>
      <c r="I821" s="50">
        <f>ROUND(F821*AP821,2)</f>
        <v>0</v>
      </c>
      <c r="J821" s="50">
        <f>ROUND(F821*G821,2)</f>
        <v>0</v>
      </c>
      <c r="K821" s="51" t="s">
        <v>116</v>
      </c>
      <c r="Z821" s="50">
        <f>ROUND(IF(AQ821="5",BJ821,0),2)</f>
        <v>0</v>
      </c>
      <c r="AB821" s="50">
        <f>ROUND(IF(AQ821="1",BH821,0),2)</f>
        <v>0</v>
      </c>
      <c r="AC821" s="50">
        <f>ROUND(IF(AQ821="1",BI821,0),2)</f>
        <v>0</v>
      </c>
      <c r="AD821" s="50">
        <f>ROUND(IF(AQ821="7",BH821,0),2)</f>
        <v>0</v>
      </c>
      <c r="AE821" s="50">
        <f>ROUND(IF(AQ821="7",BI821,0),2)</f>
        <v>0</v>
      </c>
      <c r="AF821" s="50">
        <f>ROUND(IF(AQ821="2",BH821,0),2)</f>
        <v>0</v>
      </c>
      <c r="AG821" s="50">
        <f>ROUND(IF(AQ821="2",BI821,0),2)</f>
        <v>0</v>
      </c>
      <c r="AH821" s="50">
        <f>ROUND(IF(AQ821="0",BJ821,0),2)</f>
        <v>0</v>
      </c>
      <c r="AI821" s="32" t="s">
        <v>4</v>
      </c>
      <c r="AJ821" s="50">
        <f>IF(AN821=0,J821,0)</f>
        <v>0</v>
      </c>
      <c r="AK821" s="50">
        <f>IF(AN821=12,J821,0)</f>
        <v>0</v>
      </c>
      <c r="AL821" s="50">
        <f>IF(AN821=21,J821,0)</f>
        <v>0</v>
      </c>
      <c r="AN821" s="50">
        <v>21</v>
      </c>
      <c r="AO821" s="50">
        <f>G821*0.018151272</f>
        <v>0</v>
      </c>
      <c r="AP821" s="50">
        <f>G821*(1-0.018151272)</f>
        <v>0</v>
      </c>
      <c r="AQ821" s="52" t="s">
        <v>158</v>
      </c>
      <c r="AV821" s="50">
        <f>ROUND(AW821+AX821,2)</f>
        <v>0</v>
      </c>
      <c r="AW821" s="50">
        <f>ROUND(F821*AO821,2)</f>
        <v>0</v>
      </c>
      <c r="AX821" s="50">
        <f>ROUND(F821*AP821,2)</f>
        <v>0</v>
      </c>
      <c r="AY821" s="52" t="s">
        <v>1232</v>
      </c>
      <c r="AZ821" s="52" t="s">
        <v>1090</v>
      </c>
      <c r="BA821" s="32" t="s">
        <v>119</v>
      </c>
      <c r="BC821" s="50">
        <f>AW821+AX821</f>
        <v>0</v>
      </c>
      <c r="BD821" s="50">
        <f>G821/(100-BE821)*100</f>
        <v>0</v>
      </c>
      <c r="BE821" s="50">
        <v>0</v>
      </c>
      <c r="BF821" s="50">
        <f>821</f>
        <v>821</v>
      </c>
      <c r="BH821" s="50">
        <f>F821*AO821</f>
        <v>0</v>
      </c>
      <c r="BI821" s="50">
        <f>F821*AP821</f>
        <v>0</v>
      </c>
      <c r="BJ821" s="50">
        <f>F821*G821</f>
        <v>0</v>
      </c>
      <c r="BK821" s="50"/>
      <c r="BL821" s="50">
        <v>766</v>
      </c>
      <c r="BW821" s="50">
        <v>21</v>
      </c>
      <c r="BX821" s="3" t="s">
        <v>1306</v>
      </c>
    </row>
    <row r="822" spans="1:76" ht="14.4" x14ac:dyDescent="0.3">
      <c r="A822" s="53"/>
      <c r="C822" s="54" t="s">
        <v>1307</v>
      </c>
      <c r="D822" s="54" t="s">
        <v>4</v>
      </c>
      <c r="F822" s="55">
        <v>52.63</v>
      </c>
      <c r="K822" s="56"/>
    </row>
    <row r="823" spans="1:76" ht="14.4" x14ac:dyDescent="0.3">
      <c r="A823" s="1" t="s">
        <v>1308</v>
      </c>
      <c r="B823" s="2" t="s">
        <v>1309</v>
      </c>
      <c r="C823" s="75" t="s">
        <v>1310</v>
      </c>
      <c r="D823" s="70"/>
      <c r="E823" s="2" t="s">
        <v>216</v>
      </c>
      <c r="F823" s="50">
        <v>55.261499999999998</v>
      </c>
      <c r="G823" s="50">
        <v>0</v>
      </c>
      <c r="H823" s="50">
        <f>ROUND(F823*AO823,2)</f>
        <v>0</v>
      </c>
      <c r="I823" s="50">
        <f>ROUND(F823*AP823,2)</f>
        <v>0</v>
      </c>
      <c r="J823" s="50">
        <f>ROUND(F823*G823,2)</f>
        <v>0</v>
      </c>
      <c r="K823" s="51" t="s">
        <v>116</v>
      </c>
      <c r="Z823" s="50">
        <f>ROUND(IF(AQ823="5",BJ823,0),2)</f>
        <v>0</v>
      </c>
      <c r="AB823" s="50">
        <f>ROUND(IF(AQ823="1",BH823,0),2)</f>
        <v>0</v>
      </c>
      <c r="AC823" s="50">
        <f>ROUND(IF(AQ823="1",BI823,0),2)</f>
        <v>0</v>
      </c>
      <c r="AD823" s="50">
        <f>ROUND(IF(AQ823="7",BH823,0),2)</f>
        <v>0</v>
      </c>
      <c r="AE823" s="50">
        <f>ROUND(IF(AQ823="7",BI823,0),2)</f>
        <v>0</v>
      </c>
      <c r="AF823" s="50">
        <f>ROUND(IF(AQ823="2",BH823,0),2)</f>
        <v>0</v>
      </c>
      <c r="AG823" s="50">
        <f>ROUND(IF(AQ823="2",BI823,0),2)</f>
        <v>0</v>
      </c>
      <c r="AH823" s="50">
        <f>ROUND(IF(AQ823="0",BJ823,0),2)</f>
        <v>0</v>
      </c>
      <c r="AI823" s="32" t="s">
        <v>4</v>
      </c>
      <c r="AJ823" s="50">
        <f>IF(AN823=0,J823,0)</f>
        <v>0</v>
      </c>
      <c r="AK823" s="50">
        <f>IF(AN823=12,J823,0)</f>
        <v>0</v>
      </c>
      <c r="AL823" s="50">
        <f>IF(AN823=21,J823,0)</f>
        <v>0</v>
      </c>
      <c r="AN823" s="50">
        <v>21</v>
      </c>
      <c r="AO823" s="50">
        <f>G823*1</f>
        <v>0</v>
      </c>
      <c r="AP823" s="50">
        <f>G823*(1-1)</f>
        <v>0</v>
      </c>
      <c r="AQ823" s="52" t="s">
        <v>158</v>
      </c>
      <c r="AV823" s="50">
        <f>ROUND(AW823+AX823,2)</f>
        <v>0</v>
      </c>
      <c r="AW823" s="50">
        <f>ROUND(F823*AO823,2)</f>
        <v>0</v>
      </c>
      <c r="AX823" s="50">
        <f>ROUND(F823*AP823,2)</f>
        <v>0</v>
      </c>
      <c r="AY823" s="52" t="s">
        <v>1232</v>
      </c>
      <c r="AZ823" s="52" t="s">
        <v>1090</v>
      </c>
      <c r="BA823" s="32" t="s">
        <v>119</v>
      </c>
      <c r="BC823" s="50">
        <f>AW823+AX823</f>
        <v>0</v>
      </c>
      <c r="BD823" s="50">
        <f>G823/(100-BE823)*100</f>
        <v>0</v>
      </c>
      <c r="BE823" s="50">
        <v>0</v>
      </c>
      <c r="BF823" s="50">
        <f>823</f>
        <v>823</v>
      </c>
      <c r="BH823" s="50">
        <f>F823*AO823</f>
        <v>0</v>
      </c>
      <c r="BI823" s="50">
        <f>F823*AP823</f>
        <v>0</v>
      </c>
      <c r="BJ823" s="50">
        <f>F823*G823</f>
        <v>0</v>
      </c>
      <c r="BK823" s="50"/>
      <c r="BL823" s="50">
        <v>766</v>
      </c>
      <c r="BW823" s="50">
        <v>21</v>
      </c>
      <c r="BX823" s="3" t="s">
        <v>1310</v>
      </c>
    </row>
    <row r="824" spans="1:76" ht="14.4" x14ac:dyDescent="0.3">
      <c r="A824" s="53"/>
      <c r="C824" s="54" t="s">
        <v>739</v>
      </c>
      <c r="D824" s="54" t="s">
        <v>4</v>
      </c>
      <c r="F824" s="55">
        <v>52.63</v>
      </c>
      <c r="K824" s="56"/>
    </row>
    <row r="825" spans="1:76" ht="14.4" x14ac:dyDescent="0.3">
      <c r="A825" s="53"/>
      <c r="C825" s="54" t="s">
        <v>1311</v>
      </c>
      <c r="D825" s="54" t="s">
        <v>4</v>
      </c>
      <c r="F825" s="55">
        <v>2.6315</v>
      </c>
      <c r="K825" s="56"/>
    </row>
    <row r="826" spans="1:76" ht="14.4" x14ac:dyDescent="0.3">
      <c r="A826" s="1" t="s">
        <v>1312</v>
      </c>
      <c r="B826" s="2" t="s">
        <v>1313</v>
      </c>
      <c r="C826" s="75" t="s">
        <v>1314</v>
      </c>
      <c r="D826" s="70"/>
      <c r="E826" s="2" t="s">
        <v>173</v>
      </c>
      <c r="F826" s="50">
        <v>2.8473799999999998</v>
      </c>
      <c r="G826" s="50">
        <v>0</v>
      </c>
      <c r="H826" s="50">
        <f>ROUND(F826*AO826,2)</f>
        <v>0</v>
      </c>
      <c r="I826" s="50">
        <f>ROUND(F826*AP826,2)</f>
        <v>0</v>
      </c>
      <c r="J826" s="50">
        <f>ROUND(F826*G826,2)</f>
        <v>0</v>
      </c>
      <c r="K826" s="51" t="s">
        <v>116</v>
      </c>
      <c r="Z826" s="50">
        <f>ROUND(IF(AQ826="5",BJ826,0),2)</f>
        <v>0</v>
      </c>
      <c r="AB826" s="50">
        <f>ROUND(IF(AQ826="1",BH826,0),2)</f>
        <v>0</v>
      </c>
      <c r="AC826" s="50">
        <f>ROUND(IF(AQ826="1",BI826,0),2)</f>
        <v>0</v>
      </c>
      <c r="AD826" s="50">
        <f>ROUND(IF(AQ826="7",BH826,0),2)</f>
        <v>0</v>
      </c>
      <c r="AE826" s="50">
        <f>ROUND(IF(AQ826="7",BI826,0),2)</f>
        <v>0</v>
      </c>
      <c r="AF826" s="50">
        <f>ROUND(IF(AQ826="2",BH826,0),2)</f>
        <v>0</v>
      </c>
      <c r="AG826" s="50">
        <f>ROUND(IF(AQ826="2",BI826,0),2)</f>
        <v>0</v>
      </c>
      <c r="AH826" s="50">
        <f>ROUND(IF(AQ826="0",BJ826,0),2)</f>
        <v>0</v>
      </c>
      <c r="AI826" s="32" t="s">
        <v>4</v>
      </c>
      <c r="AJ826" s="50">
        <f>IF(AN826=0,J826,0)</f>
        <v>0</v>
      </c>
      <c r="AK826" s="50">
        <f>IF(AN826=12,J826,0)</f>
        <v>0</v>
      </c>
      <c r="AL826" s="50">
        <f>IF(AN826=21,J826,0)</f>
        <v>0</v>
      </c>
      <c r="AN826" s="50">
        <v>21</v>
      </c>
      <c r="AO826" s="50">
        <f>G826*0</f>
        <v>0</v>
      </c>
      <c r="AP826" s="50">
        <f>G826*(1-0)</f>
        <v>0</v>
      </c>
      <c r="AQ826" s="52" t="s">
        <v>147</v>
      </c>
      <c r="AV826" s="50">
        <f>ROUND(AW826+AX826,2)</f>
        <v>0</v>
      </c>
      <c r="AW826" s="50">
        <f>ROUND(F826*AO826,2)</f>
        <v>0</v>
      </c>
      <c r="AX826" s="50">
        <f>ROUND(F826*AP826,2)</f>
        <v>0</v>
      </c>
      <c r="AY826" s="52" t="s">
        <v>1232</v>
      </c>
      <c r="AZ826" s="52" t="s">
        <v>1090</v>
      </c>
      <c r="BA826" s="32" t="s">
        <v>119</v>
      </c>
      <c r="BC826" s="50">
        <f>AW826+AX826</f>
        <v>0</v>
      </c>
      <c r="BD826" s="50">
        <f>G826/(100-BE826)*100</f>
        <v>0</v>
      </c>
      <c r="BE826" s="50">
        <v>0</v>
      </c>
      <c r="BF826" s="50">
        <f>826</f>
        <v>826</v>
      </c>
      <c r="BH826" s="50">
        <f>F826*AO826</f>
        <v>0</v>
      </c>
      <c r="BI826" s="50">
        <f>F826*AP826</f>
        <v>0</v>
      </c>
      <c r="BJ826" s="50">
        <f>F826*G826</f>
        <v>0</v>
      </c>
      <c r="BK826" s="50"/>
      <c r="BL826" s="50">
        <v>766</v>
      </c>
      <c r="BW826" s="50">
        <v>21</v>
      </c>
      <c r="BX826" s="3" t="s">
        <v>1314</v>
      </c>
    </row>
    <row r="827" spans="1:76" ht="14.4" x14ac:dyDescent="0.3">
      <c r="A827" s="46" t="s">
        <v>4</v>
      </c>
      <c r="B827" s="47" t="s">
        <v>1315</v>
      </c>
      <c r="C827" s="148" t="s">
        <v>1316</v>
      </c>
      <c r="D827" s="149"/>
      <c r="E827" s="48" t="s">
        <v>74</v>
      </c>
      <c r="F827" s="48" t="s">
        <v>74</v>
      </c>
      <c r="G827" s="48" t="s">
        <v>74</v>
      </c>
      <c r="H827" s="26">
        <f>SUM(H828:H857)</f>
        <v>0</v>
      </c>
      <c r="I827" s="26">
        <f>SUM(I828:I857)</f>
        <v>0</v>
      </c>
      <c r="J827" s="26">
        <f>SUM(J828:J857)</f>
        <v>0</v>
      </c>
      <c r="K827" s="49" t="s">
        <v>4</v>
      </c>
      <c r="AI827" s="32" t="s">
        <v>4</v>
      </c>
      <c r="AS827" s="26">
        <f>SUM(AJ828:AJ857)</f>
        <v>0</v>
      </c>
      <c r="AT827" s="26">
        <f>SUM(AK828:AK857)</f>
        <v>0</v>
      </c>
      <c r="AU827" s="26">
        <f>SUM(AL828:AL857)</f>
        <v>0</v>
      </c>
    </row>
    <row r="828" spans="1:76" ht="14.4" x14ac:dyDescent="0.3">
      <c r="A828" s="1" t="s">
        <v>1317</v>
      </c>
      <c r="B828" s="2" t="s">
        <v>1318</v>
      </c>
      <c r="C828" s="75" t="s">
        <v>1319</v>
      </c>
      <c r="D828" s="70"/>
      <c r="E828" s="2" t="s">
        <v>233</v>
      </c>
      <c r="F828" s="50">
        <v>19.100000000000001</v>
      </c>
      <c r="G828" s="50">
        <v>0</v>
      </c>
      <c r="H828" s="50">
        <f>ROUND(F828*AO828,2)</f>
        <v>0</v>
      </c>
      <c r="I828" s="50">
        <f>ROUND(F828*AP828,2)</f>
        <v>0</v>
      </c>
      <c r="J828" s="50">
        <f>ROUND(F828*G828,2)</f>
        <v>0</v>
      </c>
      <c r="K828" s="51" t="s">
        <v>116</v>
      </c>
      <c r="Z828" s="50">
        <f>ROUND(IF(AQ828="5",BJ828,0),2)</f>
        <v>0</v>
      </c>
      <c r="AB828" s="50">
        <f>ROUND(IF(AQ828="1",BH828,0),2)</f>
        <v>0</v>
      </c>
      <c r="AC828" s="50">
        <f>ROUND(IF(AQ828="1",BI828,0),2)</f>
        <v>0</v>
      </c>
      <c r="AD828" s="50">
        <f>ROUND(IF(AQ828="7",BH828,0),2)</f>
        <v>0</v>
      </c>
      <c r="AE828" s="50">
        <f>ROUND(IF(AQ828="7",BI828,0),2)</f>
        <v>0</v>
      </c>
      <c r="AF828" s="50">
        <f>ROUND(IF(AQ828="2",BH828,0),2)</f>
        <v>0</v>
      </c>
      <c r="AG828" s="50">
        <f>ROUND(IF(AQ828="2",BI828,0),2)</f>
        <v>0</v>
      </c>
      <c r="AH828" s="50">
        <f>ROUND(IF(AQ828="0",BJ828,0),2)</f>
        <v>0</v>
      </c>
      <c r="AI828" s="32" t="s">
        <v>4</v>
      </c>
      <c r="AJ828" s="50">
        <f>IF(AN828=0,J828,0)</f>
        <v>0</v>
      </c>
      <c r="AK828" s="50">
        <f>IF(AN828=12,J828,0)</f>
        <v>0</v>
      </c>
      <c r="AL828" s="50">
        <f>IF(AN828=21,J828,0)</f>
        <v>0</v>
      </c>
      <c r="AN828" s="50">
        <v>21</v>
      </c>
      <c r="AO828" s="50">
        <f>G828*0.082380952</f>
        <v>0</v>
      </c>
      <c r="AP828" s="50">
        <f>G828*(1-0.082380952)</f>
        <v>0</v>
      </c>
      <c r="AQ828" s="52" t="s">
        <v>158</v>
      </c>
      <c r="AV828" s="50">
        <f>ROUND(AW828+AX828,2)</f>
        <v>0</v>
      </c>
      <c r="AW828" s="50">
        <f>ROUND(F828*AO828,2)</f>
        <v>0</v>
      </c>
      <c r="AX828" s="50">
        <f>ROUND(F828*AP828,2)</f>
        <v>0</v>
      </c>
      <c r="AY828" s="52" t="s">
        <v>1320</v>
      </c>
      <c r="AZ828" s="52" t="s">
        <v>1090</v>
      </c>
      <c r="BA828" s="32" t="s">
        <v>119</v>
      </c>
      <c r="BC828" s="50">
        <f>AW828+AX828</f>
        <v>0</v>
      </c>
      <c r="BD828" s="50">
        <f>G828/(100-BE828)*100</f>
        <v>0</v>
      </c>
      <c r="BE828" s="50">
        <v>0</v>
      </c>
      <c r="BF828" s="50">
        <f>828</f>
        <v>828</v>
      </c>
      <c r="BH828" s="50">
        <f>F828*AO828</f>
        <v>0</v>
      </c>
      <c r="BI828" s="50">
        <f>F828*AP828</f>
        <v>0</v>
      </c>
      <c r="BJ828" s="50">
        <f>F828*G828</f>
        <v>0</v>
      </c>
      <c r="BK828" s="50"/>
      <c r="BL828" s="50">
        <v>767</v>
      </c>
      <c r="BW828" s="50">
        <v>21</v>
      </c>
      <c r="BX828" s="3" t="s">
        <v>1319</v>
      </c>
    </row>
    <row r="829" spans="1:76" ht="13.5" customHeight="1" x14ac:dyDescent="0.3">
      <c r="A829" s="53"/>
      <c r="B829" s="57" t="s">
        <v>198</v>
      </c>
      <c r="C829" s="150" t="s">
        <v>1321</v>
      </c>
      <c r="D829" s="151"/>
      <c r="E829" s="151"/>
      <c r="F829" s="151"/>
      <c r="G829" s="151"/>
      <c r="H829" s="151"/>
      <c r="I829" s="151"/>
      <c r="J829" s="151"/>
      <c r="K829" s="152"/>
    </row>
    <row r="830" spans="1:76" ht="14.4" x14ac:dyDescent="0.3">
      <c r="A830" s="53"/>
      <c r="C830" s="54" t="s">
        <v>1322</v>
      </c>
      <c r="D830" s="54" t="s">
        <v>4</v>
      </c>
      <c r="F830" s="55">
        <v>8.6</v>
      </c>
      <c r="K830" s="56"/>
    </row>
    <row r="831" spans="1:76" ht="14.4" x14ac:dyDescent="0.3">
      <c r="A831" s="53"/>
      <c r="C831" s="54" t="s">
        <v>1323</v>
      </c>
      <c r="D831" s="54" t="s">
        <v>4</v>
      </c>
      <c r="F831" s="55">
        <v>10.5</v>
      </c>
      <c r="K831" s="56"/>
    </row>
    <row r="832" spans="1:76" ht="14.4" x14ac:dyDescent="0.3">
      <c r="A832" s="1" t="s">
        <v>1324</v>
      </c>
      <c r="B832" s="2" t="s">
        <v>1325</v>
      </c>
      <c r="C832" s="75" t="s">
        <v>1326</v>
      </c>
      <c r="D832" s="70"/>
      <c r="E832" s="2" t="s">
        <v>233</v>
      </c>
      <c r="F832" s="50">
        <v>67.371949999999998</v>
      </c>
      <c r="G832" s="50">
        <v>0</v>
      </c>
      <c r="H832" s="50">
        <f>ROUND(F832*AO832,2)</f>
        <v>0</v>
      </c>
      <c r="I832" s="50">
        <f>ROUND(F832*AP832,2)</f>
        <v>0</v>
      </c>
      <c r="J832" s="50">
        <f>ROUND(F832*G832,2)</f>
        <v>0</v>
      </c>
      <c r="K832" s="51" t="s">
        <v>116</v>
      </c>
      <c r="Z832" s="50">
        <f>ROUND(IF(AQ832="5",BJ832,0),2)</f>
        <v>0</v>
      </c>
      <c r="AB832" s="50">
        <f>ROUND(IF(AQ832="1",BH832,0),2)</f>
        <v>0</v>
      </c>
      <c r="AC832" s="50">
        <f>ROUND(IF(AQ832="1",BI832,0),2)</f>
        <v>0</v>
      </c>
      <c r="AD832" s="50">
        <f>ROUND(IF(AQ832="7",BH832,0),2)</f>
        <v>0</v>
      </c>
      <c r="AE832" s="50">
        <f>ROUND(IF(AQ832="7",BI832,0),2)</f>
        <v>0</v>
      </c>
      <c r="AF832" s="50">
        <f>ROUND(IF(AQ832="2",BH832,0),2)</f>
        <v>0</v>
      </c>
      <c r="AG832" s="50">
        <f>ROUND(IF(AQ832="2",BI832,0),2)</f>
        <v>0</v>
      </c>
      <c r="AH832" s="50">
        <f>ROUND(IF(AQ832="0",BJ832,0),2)</f>
        <v>0</v>
      </c>
      <c r="AI832" s="32" t="s">
        <v>4</v>
      </c>
      <c r="AJ832" s="50">
        <f>IF(AN832=0,J832,0)</f>
        <v>0</v>
      </c>
      <c r="AK832" s="50">
        <f>IF(AN832=12,J832,0)</f>
        <v>0</v>
      </c>
      <c r="AL832" s="50">
        <f>IF(AN832=21,J832,0)</f>
        <v>0</v>
      </c>
      <c r="AN832" s="50">
        <v>21</v>
      </c>
      <c r="AO832" s="50">
        <f>G832*0.022094882</f>
        <v>0</v>
      </c>
      <c r="AP832" s="50">
        <f>G832*(1-0.022094882)</f>
        <v>0</v>
      </c>
      <c r="AQ832" s="52" t="s">
        <v>158</v>
      </c>
      <c r="AV832" s="50">
        <f>ROUND(AW832+AX832,2)</f>
        <v>0</v>
      </c>
      <c r="AW832" s="50">
        <f>ROUND(F832*AO832,2)</f>
        <v>0</v>
      </c>
      <c r="AX832" s="50">
        <f>ROUND(F832*AP832,2)</f>
        <v>0</v>
      </c>
      <c r="AY832" s="52" t="s">
        <v>1320</v>
      </c>
      <c r="AZ832" s="52" t="s">
        <v>1090</v>
      </c>
      <c r="BA832" s="32" t="s">
        <v>119</v>
      </c>
      <c r="BC832" s="50">
        <f>AW832+AX832</f>
        <v>0</v>
      </c>
      <c r="BD832" s="50">
        <f>G832/(100-BE832)*100</f>
        <v>0</v>
      </c>
      <c r="BE832" s="50">
        <v>0</v>
      </c>
      <c r="BF832" s="50">
        <f>832</f>
        <v>832</v>
      </c>
      <c r="BH832" s="50">
        <f>F832*AO832</f>
        <v>0</v>
      </c>
      <c r="BI832" s="50">
        <f>F832*AP832</f>
        <v>0</v>
      </c>
      <c r="BJ832" s="50">
        <f>F832*G832</f>
        <v>0</v>
      </c>
      <c r="BK832" s="50"/>
      <c r="BL832" s="50">
        <v>767</v>
      </c>
      <c r="BW832" s="50">
        <v>21</v>
      </c>
      <c r="BX832" s="3" t="s">
        <v>1326</v>
      </c>
    </row>
    <row r="833" spans="1:76" ht="14.4" x14ac:dyDescent="0.3">
      <c r="A833" s="53"/>
      <c r="C833" s="54" t="s">
        <v>1327</v>
      </c>
      <c r="D833" s="54" t="s">
        <v>4</v>
      </c>
      <c r="F833" s="55">
        <v>11.6</v>
      </c>
      <c r="K833" s="56"/>
    </row>
    <row r="834" spans="1:76" ht="14.4" x14ac:dyDescent="0.3">
      <c r="A834" s="53"/>
      <c r="C834" s="54" t="s">
        <v>1328</v>
      </c>
      <c r="D834" s="54" t="s">
        <v>4</v>
      </c>
      <c r="F834" s="55">
        <v>15.2</v>
      </c>
      <c r="K834" s="56"/>
    </row>
    <row r="835" spans="1:76" ht="14.4" x14ac:dyDescent="0.3">
      <c r="A835" s="53"/>
      <c r="C835" s="54" t="s">
        <v>1329</v>
      </c>
      <c r="D835" s="54" t="s">
        <v>4</v>
      </c>
      <c r="F835" s="55">
        <v>10.61</v>
      </c>
      <c r="K835" s="56"/>
    </row>
    <row r="836" spans="1:76" ht="14.4" x14ac:dyDescent="0.3">
      <c r="A836" s="53"/>
      <c r="C836" s="54" t="s">
        <v>1330</v>
      </c>
      <c r="D836" s="54" t="s">
        <v>4</v>
      </c>
      <c r="F836" s="55">
        <v>14</v>
      </c>
      <c r="K836" s="56"/>
    </row>
    <row r="837" spans="1:76" ht="14.4" x14ac:dyDescent="0.3">
      <c r="A837" s="53"/>
      <c r="C837" s="54" t="s">
        <v>1331</v>
      </c>
      <c r="D837" s="54" t="s">
        <v>4</v>
      </c>
      <c r="F837" s="55">
        <v>13.7</v>
      </c>
      <c r="K837" s="56"/>
    </row>
    <row r="838" spans="1:76" ht="14.4" x14ac:dyDescent="0.3">
      <c r="A838" s="53"/>
      <c r="C838" s="54" t="s">
        <v>1332</v>
      </c>
      <c r="D838" s="54" t="s">
        <v>4</v>
      </c>
      <c r="F838" s="55">
        <v>2.2619500000000001</v>
      </c>
      <c r="K838" s="56"/>
    </row>
    <row r="839" spans="1:76" ht="14.4" x14ac:dyDescent="0.3">
      <c r="A839" s="1" t="s">
        <v>1333</v>
      </c>
      <c r="B839" s="2" t="s">
        <v>1334</v>
      </c>
      <c r="C839" s="75" t="s">
        <v>1335</v>
      </c>
      <c r="D839" s="70"/>
      <c r="E839" s="2" t="s">
        <v>216</v>
      </c>
      <c r="F839" s="50">
        <v>24.472200000000001</v>
      </c>
      <c r="G839" s="50">
        <v>0</v>
      </c>
      <c r="H839" s="50">
        <f>ROUND(F839*AO839,2)</f>
        <v>0</v>
      </c>
      <c r="I839" s="50">
        <f>ROUND(F839*AP839,2)</f>
        <v>0</v>
      </c>
      <c r="J839" s="50">
        <f>ROUND(F839*G839,2)</f>
        <v>0</v>
      </c>
      <c r="K839" s="51" t="s">
        <v>116</v>
      </c>
      <c r="Z839" s="50">
        <f>ROUND(IF(AQ839="5",BJ839,0),2)</f>
        <v>0</v>
      </c>
      <c r="AB839" s="50">
        <f>ROUND(IF(AQ839="1",BH839,0),2)</f>
        <v>0</v>
      </c>
      <c r="AC839" s="50">
        <f>ROUND(IF(AQ839="1",BI839,0),2)</f>
        <v>0</v>
      </c>
      <c r="AD839" s="50">
        <f>ROUND(IF(AQ839="7",BH839,0),2)</f>
        <v>0</v>
      </c>
      <c r="AE839" s="50">
        <f>ROUND(IF(AQ839="7",BI839,0),2)</f>
        <v>0</v>
      </c>
      <c r="AF839" s="50">
        <f>ROUND(IF(AQ839="2",BH839,0),2)</f>
        <v>0</v>
      </c>
      <c r="AG839" s="50">
        <f>ROUND(IF(AQ839="2",BI839,0),2)</f>
        <v>0</v>
      </c>
      <c r="AH839" s="50">
        <f>ROUND(IF(AQ839="0",BJ839,0),2)</f>
        <v>0</v>
      </c>
      <c r="AI839" s="32" t="s">
        <v>4</v>
      </c>
      <c r="AJ839" s="50">
        <f>IF(AN839=0,J839,0)</f>
        <v>0</v>
      </c>
      <c r="AK839" s="50">
        <f>IF(AN839=12,J839,0)</f>
        <v>0</v>
      </c>
      <c r="AL839" s="50">
        <f>IF(AN839=21,J839,0)</f>
        <v>0</v>
      </c>
      <c r="AN839" s="50">
        <v>21</v>
      </c>
      <c r="AO839" s="50">
        <f>G839*1</f>
        <v>0</v>
      </c>
      <c r="AP839" s="50">
        <f>G839*(1-1)</f>
        <v>0</v>
      </c>
      <c r="AQ839" s="52" t="s">
        <v>158</v>
      </c>
      <c r="AV839" s="50">
        <f>ROUND(AW839+AX839,2)</f>
        <v>0</v>
      </c>
      <c r="AW839" s="50">
        <f>ROUND(F839*AO839,2)</f>
        <v>0</v>
      </c>
      <c r="AX839" s="50">
        <f>ROUND(F839*AP839,2)</f>
        <v>0</v>
      </c>
      <c r="AY839" s="52" t="s">
        <v>1320</v>
      </c>
      <c r="AZ839" s="52" t="s">
        <v>1090</v>
      </c>
      <c r="BA839" s="32" t="s">
        <v>119</v>
      </c>
      <c r="BC839" s="50">
        <f>AW839+AX839</f>
        <v>0</v>
      </c>
      <c r="BD839" s="50">
        <f>G839/(100-BE839)*100</f>
        <v>0</v>
      </c>
      <c r="BE839" s="50">
        <v>0</v>
      </c>
      <c r="BF839" s="50">
        <f>839</f>
        <v>839</v>
      </c>
      <c r="BH839" s="50">
        <f>F839*AO839</f>
        <v>0</v>
      </c>
      <c r="BI839" s="50">
        <f>F839*AP839</f>
        <v>0</v>
      </c>
      <c r="BJ839" s="50">
        <f>F839*G839</f>
        <v>0</v>
      </c>
      <c r="BK839" s="50"/>
      <c r="BL839" s="50">
        <v>767</v>
      </c>
      <c r="BW839" s="50">
        <v>21</v>
      </c>
      <c r="BX839" s="3" t="s">
        <v>1335</v>
      </c>
    </row>
    <row r="840" spans="1:76" ht="14.4" x14ac:dyDescent="0.3">
      <c r="A840" s="53"/>
      <c r="C840" s="54" t="s">
        <v>1336</v>
      </c>
      <c r="D840" s="54" t="s">
        <v>4</v>
      </c>
      <c r="F840" s="55">
        <v>8.3874999999999993</v>
      </c>
      <c r="K840" s="56"/>
    </row>
    <row r="841" spans="1:76" ht="14.4" x14ac:dyDescent="0.3">
      <c r="A841" s="53"/>
      <c r="C841" s="54" t="s">
        <v>1337</v>
      </c>
      <c r="D841" s="54" t="s">
        <v>4</v>
      </c>
      <c r="F841" s="55">
        <v>7.15</v>
      </c>
      <c r="K841" s="56"/>
    </row>
    <row r="842" spans="1:76" ht="14.4" x14ac:dyDescent="0.3">
      <c r="A842" s="53"/>
      <c r="C842" s="54" t="s">
        <v>1338</v>
      </c>
      <c r="D842" s="54" t="s">
        <v>4</v>
      </c>
      <c r="F842" s="55">
        <v>6.6727499999999997</v>
      </c>
      <c r="K842" s="56"/>
    </row>
    <row r="843" spans="1:76" ht="14.4" x14ac:dyDescent="0.3">
      <c r="A843" s="53"/>
      <c r="C843" s="54" t="s">
        <v>1332</v>
      </c>
      <c r="D843" s="54" t="s">
        <v>4</v>
      </c>
      <c r="F843" s="55">
        <v>2.2619500000000001</v>
      </c>
      <c r="K843" s="56"/>
    </row>
    <row r="844" spans="1:76" ht="14.4" x14ac:dyDescent="0.3">
      <c r="A844" s="1" t="s">
        <v>1339</v>
      </c>
      <c r="B844" s="2" t="s">
        <v>1340</v>
      </c>
      <c r="C844" s="75" t="s">
        <v>1341</v>
      </c>
      <c r="D844" s="70"/>
      <c r="E844" s="2" t="s">
        <v>216</v>
      </c>
      <c r="F844" s="50">
        <v>33.975000000000001</v>
      </c>
      <c r="G844" s="50">
        <v>0</v>
      </c>
      <c r="H844" s="50">
        <f>ROUND(F844*AO844,2)</f>
        <v>0</v>
      </c>
      <c r="I844" s="50">
        <f>ROUND(F844*AP844,2)</f>
        <v>0</v>
      </c>
      <c r="J844" s="50">
        <f>ROUND(F844*G844,2)</f>
        <v>0</v>
      </c>
      <c r="K844" s="51" t="s">
        <v>116</v>
      </c>
      <c r="Z844" s="50">
        <f>ROUND(IF(AQ844="5",BJ844,0),2)</f>
        <v>0</v>
      </c>
      <c r="AB844" s="50">
        <f>ROUND(IF(AQ844="1",BH844,0),2)</f>
        <v>0</v>
      </c>
      <c r="AC844" s="50">
        <f>ROUND(IF(AQ844="1",BI844,0),2)</f>
        <v>0</v>
      </c>
      <c r="AD844" s="50">
        <f>ROUND(IF(AQ844="7",BH844,0),2)</f>
        <v>0</v>
      </c>
      <c r="AE844" s="50">
        <f>ROUND(IF(AQ844="7",BI844,0),2)</f>
        <v>0</v>
      </c>
      <c r="AF844" s="50">
        <f>ROUND(IF(AQ844="2",BH844,0),2)</f>
        <v>0</v>
      </c>
      <c r="AG844" s="50">
        <f>ROUND(IF(AQ844="2",BI844,0),2)</f>
        <v>0</v>
      </c>
      <c r="AH844" s="50">
        <f>ROUND(IF(AQ844="0",BJ844,0),2)</f>
        <v>0</v>
      </c>
      <c r="AI844" s="32" t="s">
        <v>4</v>
      </c>
      <c r="AJ844" s="50">
        <f>IF(AN844=0,J844,0)</f>
        <v>0</v>
      </c>
      <c r="AK844" s="50">
        <f>IF(AN844=12,J844,0)</f>
        <v>0</v>
      </c>
      <c r="AL844" s="50">
        <f>IF(AN844=21,J844,0)</f>
        <v>0</v>
      </c>
      <c r="AN844" s="50">
        <v>21</v>
      </c>
      <c r="AO844" s="50">
        <f>G844*1</f>
        <v>0</v>
      </c>
      <c r="AP844" s="50">
        <f>G844*(1-1)</f>
        <v>0</v>
      </c>
      <c r="AQ844" s="52" t="s">
        <v>158</v>
      </c>
      <c r="AV844" s="50">
        <f>ROUND(AW844+AX844,2)</f>
        <v>0</v>
      </c>
      <c r="AW844" s="50">
        <f>ROUND(F844*AO844,2)</f>
        <v>0</v>
      </c>
      <c r="AX844" s="50">
        <f>ROUND(F844*AP844,2)</f>
        <v>0</v>
      </c>
      <c r="AY844" s="52" t="s">
        <v>1320</v>
      </c>
      <c r="AZ844" s="52" t="s">
        <v>1090</v>
      </c>
      <c r="BA844" s="32" t="s">
        <v>119</v>
      </c>
      <c r="BC844" s="50">
        <f>AW844+AX844</f>
        <v>0</v>
      </c>
      <c r="BD844" s="50">
        <f>G844/(100-BE844)*100</f>
        <v>0</v>
      </c>
      <c r="BE844" s="50">
        <v>0</v>
      </c>
      <c r="BF844" s="50">
        <f>844</f>
        <v>844</v>
      </c>
      <c r="BH844" s="50">
        <f>F844*AO844</f>
        <v>0</v>
      </c>
      <c r="BI844" s="50">
        <f>F844*AP844</f>
        <v>0</v>
      </c>
      <c r="BJ844" s="50">
        <f>F844*G844</f>
        <v>0</v>
      </c>
      <c r="BK844" s="50"/>
      <c r="BL844" s="50">
        <v>767</v>
      </c>
      <c r="BW844" s="50">
        <v>21</v>
      </c>
      <c r="BX844" s="3" t="s">
        <v>1341</v>
      </c>
    </row>
    <row r="845" spans="1:76" ht="14.4" x14ac:dyDescent="0.3">
      <c r="A845" s="53"/>
      <c r="C845" s="54" t="s">
        <v>1342</v>
      </c>
      <c r="D845" s="54" t="s">
        <v>4</v>
      </c>
      <c r="F845" s="55">
        <v>11.275</v>
      </c>
      <c r="K845" s="56"/>
    </row>
    <row r="846" spans="1:76" ht="14.4" x14ac:dyDescent="0.3">
      <c r="A846" s="53"/>
      <c r="C846" s="54" t="s">
        <v>1343</v>
      </c>
      <c r="D846" s="54" t="s">
        <v>4</v>
      </c>
      <c r="F846" s="55">
        <v>11.6875</v>
      </c>
      <c r="K846" s="56"/>
    </row>
    <row r="847" spans="1:76" ht="14.4" x14ac:dyDescent="0.3">
      <c r="A847" s="53"/>
      <c r="C847" s="54" t="s">
        <v>1344</v>
      </c>
      <c r="D847" s="54" t="s">
        <v>4</v>
      </c>
      <c r="F847" s="55">
        <v>4.2625000000000002</v>
      </c>
      <c r="K847" s="56"/>
    </row>
    <row r="848" spans="1:76" ht="14.4" x14ac:dyDescent="0.3">
      <c r="A848" s="53"/>
      <c r="C848" s="54" t="s">
        <v>1345</v>
      </c>
      <c r="D848" s="54" t="s">
        <v>4</v>
      </c>
      <c r="F848" s="55">
        <v>6.75</v>
      </c>
      <c r="K848" s="56"/>
    </row>
    <row r="849" spans="1:76" ht="14.4" x14ac:dyDescent="0.3">
      <c r="A849" s="1" t="s">
        <v>1346</v>
      </c>
      <c r="B849" s="2" t="s">
        <v>1347</v>
      </c>
      <c r="C849" s="75" t="s">
        <v>1348</v>
      </c>
      <c r="D849" s="70"/>
      <c r="E849" s="2" t="s">
        <v>1349</v>
      </c>
      <c r="F849" s="50">
        <v>316.25</v>
      </c>
      <c r="G849" s="50">
        <v>0</v>
      </c>
      <c r="H849" s="50">
        <f>ROUND(F849*AO849,2)</f>
        <v>0</v>
      </c>
      <c r="I849" s="50">
        <f>ROUND(F849*AP849,2)</f>
        <v>0</v>
      </c>
      <c r="J849" s="50">
        <f>ROUND(F849*G849,2)</f>
        <v>0</v>
      </c>
      <c r="K849" s="51" t="s">
        <v>116</v>
      </c>
      <c r="Z849" s="50">
        <f>ROUND(IF(AQ849="5",BJ849,0),2)</f>
        <v>0</v>
      </c>
      <c r="AB849" s="50">
        <f>ROUND(IF(AQ849="1",BH849,0),2)</f>
        <v>0</v>
      </c>
      <c r="AC849" s="50">
        <f>ROUND(IF(AQ849="1",BI849,0),2)</f>
        <v>0</v>
      </c>
      <c r="AD849" s="50">
        <f>ROUND(IF(AQ849="7",BH849,0),2)</f>
        <v>0</v>
      </c>
      <c r="AE849" s="50">
        <f>ROUND(IF(AQ849="7",BI849,0),2)</f>
        <v>0</v>
      </c>
      <c r="AF849" s="50">
        <f>ROUND(IF(AQ849="2",BH849,0),2)</f>
        <v>0</v>
      </c>
      <c r="AG849" s="50">
        <f>ROUND(IF(AQ849="2",BI849,0),2)</f>
        <v>0</v>
      </c>
      <c r="AH849" s="50">
        <f>ROUND(IF(AQ849="0",BJ849,0),2)</f>
        <v>0</v>
      </c>
      <c r="AI849" s="32" t="s">
        <v>4</v>
      </c>
      <c r="AJ849" s="50">
        <f>IF(AN849=0,J849,0)</f>
        <v>0</v>
      </c>
      <c r="AK849" s="50">
        <f>IF(AN849=12,J849,0)</f>
        <v>0</v>
      </c>
      <c r="AL849" s="50">
        <f>IF(AN849=21,J849,0)</f>
        <v>0</v>
      </c>
      <c r="AN849" s="50">
        <v>21</v>
      </c>
      <c r="AO849" s="50">
        <f>G849*0.17515528</f>
        <v>0</v>
      </c>
      <c r="AP849" s="50">
        <f>G849*(1-0.17515528)</f>
        <v>0</v>
      </c>
      <c r="AQ849" s="52" t="s">
        <v>158</v>
      </c>
      <c r="AV849" s="50">
        <f>ROUND(AW849+AX849,2)</f>
        <v>0</v>
      </c>
      <c r="AW849" s="50">
        <f>ROUND(F849*AO849,2)</f>
        <v>0</v>
      </c>
      <c r="AX849" s="50">
        <f>ROUND(F849*AP849,2)</f>
        <v>0</v>
      </c>
      <c r="AY849" s="52" t="s">
        <v>1320</v>
      </c>
      <c r="AZ849" s="52" t="s">
        <v>1090</v>
      </c>
      <c r="BA849" s="32" t="s">
        <v>119</v>
      </c>
      <c r="BC849" s="50">
        <f>AW849+AX849</f>
        <v>0</v>
      </c>
      <c r="BD849" s="50">
        <f>G849/(100-BE849)*100</f>
        <v>0</v>
      </c>
      <c r="BE849" s="50">
        <v>0</v>
      </c>
      <c r="BF849" s="50">
        <f>849</f>
        <v>849</v>
      </c>
      <c r="BH849" s="50">
        <f>F849*AO849</f>
        <v>0</v>
      </c>
      <c r="BI849" s="50">
        <f>F849*AP849</f>
        <v>0</v>
      </c>
      <c r="BJ849" s="50">
        <f>F849*G849</f>
        <v>0</v>
      </c>
      <c r="BK849" s="50"/>
      <c r="BL849" s="50">
        <v>767</v>
      </c>
      <c r="BW849" s="50">
        <v>21</v>
      </c>
      <c r="BX849" s="3" t="s">
        <v>1348</v>
      </c>
    </row>
    <row r="850" spans="1:76" ht="14.4" x14ac:dyDescent="0.3">
      <c r="A850" s="53"/>
      <c r="C850" s="54" t="s">
        <v>1350</v>
      </c>
      <c r="D850" s="54" t="s">
        <v>441</v>
      </c>
      <c r="F850" s="55">
        <v>316.25</v>
      </c>
      <c r="K850" s="56"/>
    </row>
    <row r="851" spans="1:76" ht="14.4" x14ac:dyDescent="0.3">
      <c r="A851" s="1" t="s">
        <v>218</v>
      </c>
      <c r="B851" s="2" t="s">
        <v>1351</v>
      </c>
      <c r="C851" s="75" t="s">
        <v>1352</v>
      </c>
      <c r="D851" s="70"/>
      <c r="E851" s="2" t="s">
        <v>173</v>
      </c>
      <c r="F851" s="50">
        <v>0.34155000000000002</v>
      </c>
      <c r="G851" s="50">
        <v>0</v>
      </c>
      <c r="H851" s="50">
        <f>ROUND(F851*AO851,2)</f>
        <v>0</v>
      </c>
      <c r="I851" s="50">
        <f>ROUND(F851*AP851,2)</f>
        <v>0</v>
      </c>
      <c r="J851" s="50">
        <f>ROUND(F851*G851,2)</f>
        <v>0</v>
      </c>
      <c r="K851" s="51" t="s">
        <v>116</v>
      </c>
      <c r="Z851" s="50">
        <f>ROUND(IF(AQ851="5",BJ851,0),2)</f>
        <v>0</v>
      </c>
      <c r="AB851" s="50">
        <f>ROUND(IF(AQ851="1",BH851,0),2)</f>
        <v>0</v>
      </c>
      <c r="AC851" s="50">
        <f>ROUND(IF(AQ851="1",BI851,0),2)</f>
        <v>0</v>
      </c>
      <c r="AD851" s="50">
        <f>ROUND(IF(AQ851="7",BH851,0),2)</f>
        <v>0</v>
      </c>
      <c r="AE851" s="50">
        <f>ROUND(IF(AQ851="7",BI851,0),2)</f>
        <v>0</v>
      </c>
      <c r="AF851" s="50">
        <f>ROUND(IF(AQ851="2",BH851,0),2)</f>
        <v>0</v>
      </c>
      <c r="AG851" s="50">
        <f>ROUND(IF(AQ851="2",BI851,0),2)</f>
        <v>0</v>
      </c>
      <c r="AH851" s="50">
        <f>ROUND(IF(AQ851="0",BJ851,0),2)</f>
        <v>0</v>
      </c>
      <c r="AI851" s="32" t="s">
        <v>4</v>
      </c>
      <c r="AJ851" s="50">
        <f>IF(AN851=0,J851,0)</f>
        <v>0</v>
      </c>
      <c r="AK851" s="50">
        <f>IF(AN851=12,J851,0)</f>
        <v>0</v>
      </c>
      <c r="AL851" s="50">
        <f>IF(AN851=21,J851,0)</f>
        <v>0</v>
      </c>
      <c r="AN851" s="50">
        <v>21</v>
      </c>
      <c r="AO851" s="50">
        <f>G851*1</f>
        <v>0</v>
      </c>
      <c r="AP851" s="50">
        <f>G851*(1-1)</f>
        <v>0</v>
      </c>
      <c r="AQ851" s="52" t="s">
        <v>158</v>
      </c>
      <c r="AV851" s="50">
        <f>ROUND(AW851+AX851,2)</f>
        <v>0</v>
      </c>
      <c r="AW851" s="50">
        <f>ROUND(F851*AO851,2)</f>
        <v>0</v>
      </c>
      <c r="AX851" s="50">
        <f>ROUND(F851*AP851,2)</f>
        <v>0</v>
      </c>
      <c r="AY851" s="52" t="s">
        <v>1320</v>
      </c>
      <c r="AZ851" s="52" t="s">
        <v>1090</v>
      </c>
      <c r="BA851" s="32" t="s">
        <v>119</v>
      </c>
      <c r="BC851" s="50">
        <f>AW851+AX851</f>
        <v>0</v>
      </c>
      <c r="BD851" s="50">
        <f>G851/(100-BE851)*100</f>
        <v>0</v>
      </c>
      <c r="BE851" s="50">
        <v>0</v>
      </c>
      <c r="BF851" s="50">
        <f>851</f>
        <v>851</v>
      </c>
      <c r="BH851" s="50">
        <f>F851*AO851</f>
        <v>0</v>
      </c>
      <c r="BI851" s="50">
        <f>F851*AP851</f>
        <v>0</v>
      </c>
      <c r="BJ851" s="50">
        <f>F851*G851</f>
        <v>0</v>
      </c>
      <c r="BK851" s="50"/>
      <c r="BL851" s="50">
        <v>767</v>
      </c>
      <c r="BW851" s="50">
        <v>21</v>
      </c>
      <c r="BX851" s="3" t="s">
        <v>1352</v>
      </c>
    </row>
    <row r="852" spans="1:76" ht="14.4" x14ac:dyDescent="0.3">
      <c r="A852" s="53"/>
      <c r="C852" s="54" t="s">
        <v>1353</v>
      </c>
      <c r="D852" s="54" t="s">
        <v>441</v>
      </c>
      <c r="F852" s="55">
        <v>0.31624999999999998</v>
      </c>
      <c r="K852" s="56"/>
    </row>
    <row r="853" spans="1:76" ht="14.4" x14ac:dyDescent="0.3">
      <c r="A853" s="53"/>
      <c r="C853" s="54" t="s">
        <v>1354</v>
      </c>
      <c r="D853" s="54" t="s">
        <v>4</v>
      </c>
      <c r="F853" s="55">
        <v>2.53E-2</v>
      </c>
      <c r="K853" s="56"/>
    </row>
    <row r="854" spans="1:76" ht="14.4" x14ac:dyDescent="0.3">
      <c r="A854" s="1" t="s">
        <v>1355</v>
      </c>
      <c r="B854" s="2" t="s">
        <v>1356</v>
      </c>
      <c r="C854" s="75" t="s">
        <v>1357</v>
      </c>
      <c r="D854" s="70"/>
      <c r="E854" s="2" t="s">
        <v>233</v>
      </c>
      <c r="F854" s="50">
        <v>67.349999999999994</v>
      </c>
      <c r="G854" s="50">
        <v>0</v>
      </c>
      <c r="H854" s="50">
        <f>ROUND(F854*AO854,2)</f>
        <v>0</v>
      </c>
      <c r="I854" s="50">
        <f>ROUND(F854*AP854,2)</f>
        <v>0</v>
      </c>
      <c r="J854" s="50">
        <f>ROUND(F854*G854,2)</f>
        <v>0</v>
      </c>
      <c r="K854" s="51" t="s">
        <v>116</v>
      </c>
      <c r="Z854" s="50">
        <f>ROUND(IF(AQ854="5",BJ854,0),2)</f>
        <v>0</v>
      </c>
      <c r="AB854" s="50">
        <f>ROUND(IF(AQ854="1",BH854,0),2)</f>
        <v>0</v>
      </c>
      <c r="AC854" s="50">
        <f>ROUND(IF(AQ854="1",BI854,0),2)</f>
        <v>0</v>
      </c>
      <c r="AD854" s="50">
        <f>ROUND(IF(AQ854="7",BH854,0),2)</f>
        <v>0</v>
      </c>
      <c r="AE854" s="50">
        <f>ROUND(IF(AQ854="7",BI854,0),2)</f>
        <v>0</v>
      </c>
      <c r="AF854" s="50">
        <f>ROUND(IF(AQ854="2",BH854,0),2)</f>
        <v>0</v>
      </c>
      <c r="AG854" s="50">
        <f>ROUND(IF(AQ854="2",BI854,0),2)</f>
        <v>0</v>
      </c>
      <c r="AH854" s="50">
        <f>ROUND(IF(AQ854="0",BJ854,0),2)</f>
        <v>0</v>
      </c>
      <c r="AI854" s="32" t="s">
        <v>4</v>
      </c>
      <c r="AJ854" s="50">
        <f>IF(AN854=0,J854,0)</f>
        <v>0</v>
      </c>
      <c r="AK854" s="50">
        <f>IF(AN854=12,J854,0)</f>
        <v>0</v>
      </c>
      <c r="AL854" s="50">
        <f>IF(AN854=21,J854,0)</f>
        <v>0</v>
      </c>
      <c r="AN854" s="50">
        <v>21</v>
      </c>
      <c r="AO854" s="50">
        <f>G854*0.417008872</f>
        <v>0</v>
      </c>
      <c r="AP854" s="50">
        <f>G854*(1-0.417008872)</f>
        <v>0</v>
      </c>
      <c r="AQ854" s="52" t="s">
        <v>158</v>
      </c>
      <c r="AV854" s="50">
        <f>ROUND(AW854+AX854,2)</f>
        <v>0</v>
      </c>
      <c r="AW854" s="50">
        <f>ROUND(F854*AO854,2)</f>
        <v>0</v>
      </c>
      <c r="AX854" s="50">
        <f>ROUND(F854*AP854,2)</f>
        <v>0</v>
      </c>
      <c r="AY854" s="52" t="s">
        <v>1320</v>
      </c>
      <c r="AZ854" s="52" t="s">
        <v>1090</v>
      </c>
      <c r="BA854" s="32" t="s">
        <v>119</v>
      </c>
      <c r="BC854" s="50">
        <f>AW854+AX854</f>
        <v>0</v>
      </c>
      <c r="BD854" s="50">
        <f>G854/(100-BE854)*100</f>
        <v>0</v>
      </c>
      <c r="BE854" s="50">
        <v>0</v>
      </c>
      <c r="BF854" s="50">
        <f>854</f>
        <v>854</v>
      </c>
      <c r="BH854" s="50">
        <f>F854*AO854</f>
        <v>0</v>
      </c>
      <c r="BI854" s="50">
        <f>F854*AP854</f>
        <v>0</v>
      </c>
      <c r="BJ854" s="50">
        <f>F854*G854</f>
        <v>0</v>
      </c>
      <c r="BK854" s="50"/>
      <c r="BL854" s="50">
        <v>767</v>
      </c>
      <c r="BW854" s="50">
        <v>21</v>
      </c>
      <c r="BX854" s="3" t="s">
        <v>1357</v>
      </c>
    </row>
    <row r="855" spans="1:76" ht="13.5" customHeight="1" x14ac:dyDescent="0.3">
      <c r="A855" s="53"/>
      <c r="B855" s="57" t="s">
        <v>198</v>
      </c>
      <c r="C855" s="150" t="s">
        <v>1358</v>
      </c>
      <c r="D855" s="151"/>
      <c r="E855" s="151"/>
      <c r="F855" s="151"/>
      <c r="G855" s="151"/>
      <c r="H855" s="151"/>
      <c r="I855" s="151"/>
      <c r="J855" s="151"/>
      <c r="K855" s="152"/>
    </row>
    <row r="856" spans="1:76" ht="14.4" x14ac:dyDescent="0.3">
      <c r="A856" s="53"/>
      <c r="C856" s="54" t="s">
        <v>1359</v>
      </c>
      <c r="D856" s="54" t="s">
        <v>4</v>
      </c>
      <c r="F856" s="55">
        <v>67.349999999999994</v>
      </c>
      <c r="K856" s="56"/>
    </row>
    <row r="857" spans="1:76" ht="14.4" x14ac:dyDescent="0.3">
      <c r="A857" s="1" t="s">
        <v>1360</v>
      </c>
      <c r="B857" s="2" t="s">
        <v>1361</v>
      </c>
      <c r="C857" s="75" t="s">
        <v>1362</v>
      </c>
      <c r="D857" s="70"/>
      <c r="E857" s="2" t="s">
        <v>173</v>
      </c>
      <c r="F857" s="50">
        <v>1.62771</v>
      </c>
      <c r="G857" s="50">
        <v>0</v>
      </c>
      <c r="H857" s="50">
        <f>ROUND(F857*AO857,2)</f>
        <v>0</v>
      </c>
      <c r="I857" s="50">
        <f>ROUND(F857*AP857,2)</f>
        <v>0</v>
      </c>
      <c r="J857" s="50">
        <f>ROUND(F857*G857,2)</f>
        <v>0</v>
      </c>
      <c r="K857" s="51" t="s">
        <v>116</v>
      </c>
      <c r="Z857" s="50">
        <f>ROUND(IF(AQ857="5",BJ857,0),2)</f>
        <v>0</v>
      </c>
      <c r="AB857" s="50">
        <f>ROUND(IF(AQ857="1",BH857,0),2)</f>
        <v>0</v>
      </c>
      <c r="AC857" s="50">
        <f>ROUND(IF(AQ857="1",BI857,0),2)</f>
        <v>0</v>
      </c>
      <c r="AD857" s="50">
        <f>ROUND(IF(AQ857="7",BH857,0),2)</f>
        <v>0</v>
      </c>
      <c r="AE857" s="50">
        <f>ROUND(IF(AQ857="7",BI857,0),2)</f>
        <v>0</v>
      </c>
      <c r="AF857" s="50">
        <f>ROUND(IF(AQ857="2",BH857,0),2)</f>
        <v>0</v>
      </c>
      <c r="AG857" s="50">
        <f>ROUND(IF(AQ857="2",BI857,0),2)</f>
        <v>0</v>
      </c>
      <c r="AH857" s="50">
        <f>ROUND(IF(AQ857="0",BJ857,0),2)</f>
        <v>0</v>
      </c>
      <c r="AI857" s="32" t="s">
        <v>4</v>
      </c>
      <c r="AJ857" s="50">
        <f>IF(AN857=0,J857,0)</f>
        <v>0</v>
      </c>
      <c r="AK857" s="50">
        <f>IF(AN857=12,J857,0)</f>
        <v>0</v>
      </c>
      <c r="AL857" s="50">
        <f>IF(AN857=21,J857,0)</f>
        <v>0</v>
      </c>
      <c r="AN857" s="50">
        <v>21</v>
      </c>
      <c r="AO857" s="50">
        <f>G857*0</f>
        <v>0</v>
      </c>
      <c r="AP857" s="50">
        <f>G857*(1-0)</f>
        <v>0</v>
      </c>
      <c r="AQ857" s="52" t="s">
        <v>147</v>
      </c>
      <c r="AV857" s="50">
        <f>ROUND(AW857+AX857,2)</f>
        <v>0</v>
      </c>
      <c r="AW857" s="50">
        <f>ROUND(F857*AO857,2)</f>
        <v>0</v>
      </c>
      <c r="AX857" s="50">
        <f>ROUND(F857*AP857,2)</f>
        <v>0</v>
      </c>
      <c r="AY857" s="52" t="s">
        <v>1320</v>
      </c>
      <c r="AZ857" s="52" t="s">
        <v>1090</v>
      </c>
      <c r="BA857" s="32" t="s">
        <v>119</v>
      </c>
      <c r="BC857" s="50">
        <f>AW857+AX857</f>
        <v>0</v>
      </c>
      <c r="BD857" s="50">
        <f>G857/(100-BE857)*100</f>
        <v>0</v>
      </c>
      <c r="BE857" s="50">
        <v>0</v>
      </c>
      <c r="BF857" s="50">
        <f>857</f>
        <v>857</v>
      </c>
      <c r="BH857" s="50">
        <f>F857*AO857</f>
        <v>0</v>
      </c>
      <c r="BI857" s="50">
        <f>F857*AP857</f>
        <v>0</v>
      </c>
      <c r="BJ857" s="50">
        <f>F857*G857</f>
        <v>0</v>
      </c>
      <c r="BK857" s="50"/>
      <c r="BL857" s="50">
        <v>767</v>
      </c>
      <c r="BW857" s="50">
        <v>21</v>
      </c>
      <c r="BX857" s="3" t="s">
        <v>1362</v>
      </c>
    </row>
    <row r="858" spans="1:76" ht="14.4" x14ac:dyDescent="0.3">
      <c r="A858" s="46" t="s">
        <v>4</v>
      </c>
      <c r="B858" s="47" t="s">
        <v>1363</v>
      </c>
      <c r="C858" s="148" t="s">
        <v>1364</v>
      </c>
      <c r="D858" s="149"/>
      <c r="E858" s="48" t="s">
        <v>74</v>
      </c>
      <c r="F858" s="48" t="s">
        <v>74</v>
      </c>
      <c r="G858" s="48" t="s">
        <v>74</v>
      </c>
      <c r="H858" s="26">
        <f>SUM(H859:H880)</f>
        <v>0</v>
      </c>
      <c r="I858" s="26">
        <f>SUM(I859:I880)</f>
        <v>0</v>
      </c>
      <c r="J858" s="26">
        <f>SUM(J859:J880)</f>
        <v>0</v>
      </c>
      <c r="K858" s="49" t="s">
        <v>4</v>
      </c>
      <c r="AI858" s="32" t="s">
        <v>4</v>
      </c>
      <c r="AS858" s="26">
        <f>SUM(AJ859:AJ880)</f>
        <v>0</v>
      </c>
      <c r="AT858" s="26">
        <f>SUM(AK859:AK880)</f>
        <v>0</v>
      </c>
      <c r="AU858" s="26">
        <f>SUM(AL859:AL880)</f>
        <v>0</v>
      </c>
    </row>
    <row r="859" spans="1:76" ht="14.4" x14ac:dyDescent="0.3">
      <c r="A859" s="1" t="s">
        <v>1365</v>
      </c>
      <c r="B859" s="2" t="s">
        <v>1366</v>
      </c>
      <c r="C859" s="75" t="s">
        <v>1367</v>
      </c>
      <c r="D859" s="70"/>
      <c r="E859" s="2" t="s">
        <v>216</v>
      </c>
      <c r="F859" s="50">
        <v>104.22</v>
      </c>
      <c r="G859" s="50">
        <v>0</v>
      </c>
      <c r="H859" s="50">
        <f>ROUND(F859*AO859,2)</f>
        <v>0</v>
      </c>
      <c r="I859" s="50">
        <f>ROUND(F859*AP859,2)</f>
        <v>0</v>
      </c>
      <c r="J859" s="50">
        <f>ROUND(F859*G859,2)</f>
        <v>0</v>
      </c>
      <c r="K859" s="51" t="s">
        <v>116</v>
      </c>
      <c r="Z859" s="50">
        <f>ROUND(IF(AQ859="5",BJ859,0),2)</f>
        <v>0</v>
      </c>
      <c r="AB859" s="50">
        <f>ROUND(IF(AQ859="1",BH859,0),2)</f>
        <v>0</v>
      </c>
      <c r="AC859" s="50">
        <f>ROUND(IF(AQ859="1",BI859,0),2)</f>
        <v>0</v>
      </c>
      <c r="AD859" s="50">
        <f>ROUND(IF(AQ859="7",BH859,0),2)</f>
        <v>0</v>
      </c>
      <c r="AE859" s="50">
        <f>ROUND(IF(AQ859="7",BI859,0),2)</f>
        <v>0</v>
      </c>
      <c r="AF859" s="50">
        <f>ROUND(IF(AQ859="2",BH859,0),2)</f>
        <v>0</v>
      </c>
      <c r="AG859" s="50">
        <f>ROUND(IF(AQ859="2",BI859,0),2)</f>
        <v>0</v>
      </c>
      <c r="AH859" s="50">
        <f>ROUND(IF(AQ859="0",BJ859,0),2)</f>
        <v>0</v>
      </c>
      <c r="AI859" s="32" t="s">
        <v>4</v>
      </c>
      <c r="AJ859" s="50">
        <f>IF(AN859=0,J859,0)</f>
        <v>0</v>
      </c>
      <c r="AK859" s="50">
        <f>IF(AN859=12,J859,0)</f>
        <v>0</v>
      </c>
      <c r="AL859" s="50">
        <f>IF(AN859=21,J859,0)</f>
        <v>0</v>
      </c>
      <c r="AN859" s="50">
        <v>21</v>
      </c>
      <c r="AO859" s="50">
        <f>G859*0.268365773</f>
        <v>0</v>
      </c>
      <c r="AP859" s="50">
        <f>G859*(1-0.268365773)</f>
        <v>0</v>
      </c>
      <c r="AQ859" s="52" t="s">
        <v>158</v>
      </c>
      <c r="AV859" s="50">
        <f>ROUND(AW859+AX859,2)</f>
        <v>0</v>
      </c>
      <c r="AW859" s="50">
        <f>ROUND(F859*AO859,2)</f>
        <v>0</v>
      </c>
      <c r="AX859" s="50">
        <f>ROUND(F859*AP859,2)</f>
        <v>0</v>
      </c>
      <c r="AY859" s="52" t="s">
        <v>1368</v>
      </c>
      <c r="AZ859" s="52" t="s">
        <v>1369</v>
      </c>
      <c r="BA859" s="32" t="s">
        <v>119</v>
      </c>
      <c r="BC859" s="50">
        <f>AW859+AX859</f>
        <v>0</v>
      </c>
      <c r="BD859" s="50">
        <f>G859/(100-BE859)*100</f>
        <v>0</v>
      </c>
      <c r="BE859" s="50">
        <v>0</v>
      </c>
      <c r="BF859" s="50">
        <f>859</f>
        <v>859</v>
      </c>
      <c r="BH859" s="50">
        <f>F859*AO859</f>
        <v>0</v>
      </c>
      <c r="BI859" s="50">
        <f>F859*AP859</f>
        <v>0</v>
      </c>
      <c r="BJ859" s="50">
        <f>F859*G859</f>
        <v>0</v>
      </c>
      <c r="BK859" s="50"/>
      <c r="BL859" s="50">
        <v>771</v>
      </c>
      <c r="BW859" s="50">
        <v>21</v>
      </c>
      <c r="BX859" s="3" t="s">
        <v>1367</v>
      </c>
    </row>
    <row r="860" spans="1:76" ht="13.5" customHeight="1" x14ac:dyDescent="0.3">
      <c r="A860" s="53"/>
      <c r="B860" s="57" t="s">
        <v>198</v>
      </c>
      <c r="C860" s="150" t="s">
        <v>1370</v>
      </c>
      <c r="D860" s="151"/>
      <c r="E860" s="151"/>
      <c r="F860" s="151"/>
      <c r="G860" s="151"/>
      <c r="H860" s="151"/>
      <c r="I860" s="151"/>
      <c r="J860" s="151"/>
      <c r="K860" s="152"/>
    </row>
    <row r="861" spans="1:76" ht="14.4" x14ac:dyDescent="0.3">
      <c r="A861" s="53"/>
      <c r="C861" s="54" t="s">
        <v>509</v>
      </c>
      <c r="D861" s="54" t="s">
        <v>4</v>
      </c>
      <c r="F861" s="55">
        <v>51.66</v>
      </c>
      <c r="K861" s="56"/>
    </row>
    <row r="862" spans="1:76" ht="14.4" x14ac:dyDescent="0.3">
      <c r="A862" s="53"/>
      <c r="C862" s="54" t="s">
        <v>655</v>
      </c>
      <c r="D862" s="54" t="s">
        <v>4</v>
      </c>
      <c r="F862" s="55">
        <v>52.56</v>
      </c>
      <c r="K862" s="56"/>
    </row>
    <row r="863" spans="1:76" ht="14.4" x14ac:dyDescent="0.3">
      <c r="A863" s="1" t="s">
        <v>1371</v>
      </c>
      <c r="B863" s="2" t="s">
        <v>1372</v>
      </c>
      <c r="C863" s="75" t="s">
        <v>1373</v>
      </c>
      <c r="D863" s="70"/>
      <c r="E863" s="2" t="s">
        <v>216</v>
      </c>
      <c r="F863" s="50">
        <v>109.431</v>
      </c>
      <c r="G863" s="50">
        <v>0</v>
      </c>
      <c r="H863" s="50">
        <f>ROUND(F863*AO863,2)</f>
        <v>0</v>
      </c>
      <c r="I863" s="50">
        <f>ROUND(F863*AP863,2)</f>
        <v>0</v>
      </c>
      <c r="J863" s="50">
        <f>ROUND(F863*G863,2)</f>
        <v>0</v>
      </c>
      <c r="K863" s="51" t="s">
        <v>116</v>
      </c>
      <c r="Z863" s="50">
        <f>ROUND(IF(AQ863="5",BJ863,0),2)</f>
        <v>0</v>
      </c>
      <c r="AB863" s="50">
        <f>ROUND(IF(AQ863="1",BH863,0),2)</f>
        <v>0</v>
      </c>
      <c r="AC863" s="50">
        <f>ROUND(IF(AQ863="1",BI863,0),2)</f>
        <v>0</v>
      </c>
      <c r="AD863" s="50">
        <f>ROUND(IF(AQ863="7",BH863,0),2)</f>
        <v>0</v>
      </c>
      <c r="AE863" s="50">
        <f>ROUND(IF(AQ863="7",BI863,0),2)</f>
        <v>0</v>
      </c>
      <c r="AF863" s="50">
        <f>ROUND(IF(AQ863="2",BH863,0),2)</f>
        <v>0</v>
      </c>
      <c r="AG863" s="50">
        <f>ROUND(IF(AQ863="2",BI863,0),2)</f>
        <v>0</v>
      </c>
      <c r="AH863" s="50">
        <f>ROUND(IF(AQ863="0",BJ863,0),2)</f>
        <v>0</v>
      </c>
      <c r="AI863" s="32" t="s">
        <v>4</v>
      </c>
      <c r="AJ863" s="50">
        <f>IF(AN863=0,J863,0)</f>
        <v>0</v>
      </c>
      <c r="AK863" s="50">
        <f>IF(AN863=12,J863,0)</f>
        <v>0</v>
      </c>
      <c r="AL863" s="50">
        <f>IF(AN863=21,J863,0)</f>
        <v>0</v>
      </c>
      <c r="AN863" s="50">
        <v>21</v>
      </c>
      <c r="AO863" s="50">
        <f>G863*1</f>
        <v>0</v>
      </c>
      <c r="AP863" s="50">
        <f>G863*(1-1)</f>
        <v>0</v>
      </c>
      <c r="AQ863" s="52" t="s">
        <v>158</v>
      </c>
      <c r="AV863" s="50">
        <f>ROUND(AW863+AX863,2)</f>
        <v>0</v>
      </c>
      <c r="AW863" s="50">
        <f>ROUND(F863*AO863,2)</f>
        <v>0</v>
      </c>
      <c r="AX863" s="50">
        <f>ROUND(F863*AP863,2)</f>
        <v>0</v>
      </c>
      <c r="AY863" s="52" t="s">
        <v>1368</v>
      </c>
      <c r="AZ863" s="52" t="s">
        <v>1369</v>
      </c>
      <c r="BA863" s="32" t="s">
        <v>119</v>
      </c>
      <c r="BC863" s="50">
        <f>AW863+AX863</f>
        <v>0</v>
      </c>
      <c r="BD863" s="50">
        <f>G863/(100-BE863)*100</f>
        <v>0</v>
      </c>
      <c r="BE863" s="50">
        <v>0</v>
      </c>
      <c r="BF863" s="50">
        <f>863</f>
        <v>863</v>
      </c>
      <c r="BH863" s="50">
        <f>F863*AO863</f>
        <v>0</v>
      </c>
      <c r="BI863" s="50">
        <f>F863*AP863</f>
        <v>0</v>
      </c>
      <c r="BJ863" s="50">
        <f>F863*G863</f>
        <v>0</v>
      </c>
      <c r="BK863" s="50"/>
      <c r="BL863" s="50">
        <v>771</v>
      </c>
      <c r="BW863" s="50">
        <v>21</v>
      </c>
      <c r="BX863" s="3" t="s">
        <v>1373</v>
      </c>
    </row>
    <row r="864" spans="1:76" ht="14.4" x14ac:dyDescent="0.3">
      <c r="A864" s="53"/>
      <c r="C864" s="54" t="s">
        <v>1374</v>
      </c>
      <c r="D864" s="54" t="s">
        <v>4</v>
      </c>
      <c r="F864" s="55">
        <v>104.22</v>
      </c>
      <c r="K864" s="56"/>
    </row>
    <row r="865" spans="1:76" ht="14.4" x14ac:dyDescent="0.3">
      <c r="A865" s="53"/>
      <c r="C865" s="54" t="s">
        <v>1375</v>
      </c>
      <c r="D865" s="54" t="s">
        <v>4</v>
      </c>
      <c r="F865" s="55">
        <v>5.2110000000000003</v>
      </c>
      <c r="K865" s="56"/>
    </row>
    <row r="866" spans="1:76" ht="14.4" x14ac:dyDescent="0.3">
      <c r="A866" s="1" t="s">
        <v>1376</v>
      </c>
      <c r="B866" s="2" t="s">
        <v>1377</v>
      </c>
      <c r="C866" s="75" t="s">
        <v>1378</v>
      </c>
      <c r="D866" s="70"/>
      <c r="E866" s="2" t="s">
        <v>216</v>
      </c>
      <c r="F866" s="50">
        <v>51.66</v>
      </c>
      <c r="G866" s="50">
        <v>0</v>
      </c>
      <c r="H866" s="50">
        <f>ROUND(F866*AO866,2)</f>
        <v>0</v>
      </c>
      <c r="I866" s="50">
        <f>ROUND(F866*AP866,2)</f>
        <v>0</v>
      </c>
      <c r="J866" s="50">
        <f>ROUND(F866*G866,2)</f>
        <v>0</v>
      </c>
      <c r="K866" s="51" t="s">
        <v>116</v>
      </c>
      <c r="Z866" s="50">
        <f>ROUND(IF(AQ866="5",BJ866,0),2)</f>
        <v>0</v>
      </c>
      <c r="AB866" s="50">
        <f>ROUND(IF(AQ866="1",BH866,0),2)</f>
        <v>0</v>
      </c>
      <c r="AC866" s="50">
        <f>ROUND(IF(AQ866="1",BI866,0),2)</f>
        <v>0</v>
      </c>
      <c r="AD866" s="50">
        <f>ROUND(IF(AQ866="7",BH866,0),2)</f>
        <v>0</v>
      </c>
      <c r="AE866" s="50">
        <f>ROUND(IF(AQ866="7",BI866,0),2)</f>
        <v>0</v>
      </c>
      <c r="AF866" s="50">
        <f>ROUND(IF(AQ866="2",BH866,0),2)</f>
        <v>0</v>
      </c>
      <c r="AG866" s="50">
        <f>ROUND(IF(AQ866="2",BI866,0),2)</f>
        <v>0</v>
      </c>
      <c r="AH866" s="50">
        <f>ROUND(IF(AQ866="0",BJ866,0),2)</f>
        <v>0</v>
      </c>
      <c r="AI866" s="32" t="s">
        <v>4</v>
      </c>
      <c r="AJ866" s="50">
        <f>IF(AN866=0,J866,0)</f>
        <v>0</v>
      </c>
      <c r="AK866" s="50">
        <f>IF(AN866=12,J866,0)</f>
        <v>0</v>
      </c>
      <c r="AL866" s="50">
        <f>IF(AN866=21,J866,0)</f>
        <v>0</v>
      </c>
      <c r="AN866" s="50">
        <v>21</v>
      </c>
      <c r="AO866" s="50">
        <f>G866*0.447130906</f>
        <v>0</v>
      </c>
      <c r="AP866" s="50">
        <f>G866*(1-0.447130906)</f>
        <v>0</v>
      </c>
      <c r="AQ866" s="52" t="s">
        <v>158</v>
      </c>
      <c r="AV866" s="50">
        <f>ROUND(AW866+AX866,2)</f>
        <v>0</v>
      </c>
      <c r="AW866" s="50">
        <f>ROUND(F866*AO866,2)</f>
        <v>0</v>
      </c>
      <c r="AX866" s="50">
        <f>ROUND(F866*AP866,2)</f>
        <v>0</v>
      </c>
      <c r="AY866" s="52" t="s">
        <v>1368</v>
      </c>
      <c r="AZ866" s="52" t="s">
        <v>1369</v>
      </c>
      <c r="BA866" s="32" t="s">
        <v>119</v>
      </c>
      <c r="BC866" s="50">
        <f>AW866+AX866</f>
        <v>0</v>
      </c>
      <c r="BD866" s="50">
        <f>G866/(100-BE866)*100</f>
        <v>0</v>
      </c>
      <c r="BE866" s="50">
        <v>0</v>
      </c>
      <c r="BF866" s="50">
        <f>866</f>
        <v>866</v>
      </c>
      <c r="BH866" s="50">
        <f>F866*AO866</f>
        <v>0</v>
      </c>
      <c r="BI866" s="50">
        <f>F866*AP866</f>
        <v>0</v>
      </c>
      <c r="BJ866" s="50">
        <f>F866*G866</f>
        <v>0</v>
      </c>
      <c r="BK866" s="50"/>
      <c r="BL866" s="50">
        <v>771</v>
      </c>
      <c r="BW866" s="50">
        <v>21</v>
      </c>
      <c r="BX866" s="3" t="s">
        <v>1378</v>
      </c>
    </row>
    <row r="867" spans="1:76" ht="13.5" customHeight="1" x14ac:dyDescent="0.3">
      <c r="A867" s="53"/>
      <c r="B867" s="57" t="s">
        <v>198</v>
      </c>
      <c r="C867" s="150" t="s">
        <v>1379</v>
      </c>
      <c r="D867" s="151"/>
      <c r="E867" s="151"/>
      <c r="F867" s="151"/>
      <c r="G867" s="151"/>
      <c r="H867" s="151"/>
      <c r="I867" s="151"/>
      <c r="J867" s="151"/>
      <c r="K867" s="152"/>
    </row>
    <row r="868" spans="1:76" ht="14.4" x14ac:dyDescent="0.3">
      <c r="A868" s="53"/>
      <c r="C868" s="54" t="s">
        <v>509</v>
      </c>
      <c r="D868" s="54" t="s">
        <v>4</v>
      </c>
      <c r="F868" s="55">
        <v>51.66</v>
      </c>
      <c r="K868" s="56"/>
    </row>
    <row r="869" spans="1:76" ht="14.4" x14ac:dyDescent="0.3">
      <c r="A869" s="1" t="s">
        <v>1380</v>
      </c>
      <c r="B869" s="2" t="s">
        <v>1381</v>
      </c>
      <c r="C869" s="75" t="s">
        <v>1382</v>
      </c>
      <c r="D869" s="70"/>
      <c r="E869" s="2" t="s">
        <v>233</v>
      </c>
      <c r="F869" s="50">
        <v>81</v>
      </c>
      <c r="G869" s="50">
        <v>0</v>
      </c>
      <c r="H869" s="50">
        <f>ROUND(F869*AO869,2)</f>
        <v>0</v>
      </c>
      <c r="I869" s="50">
        <f>ROUND(F869*AP869,2)</f>
        <v>0</v>
      </c>
      <c r="J869" s="50">
        <f>ROUND(F869*G869,2)</f>
        <v>0</v>
      </c>
      <c r="K869" s="51" t="s">
        <v>116</v>
      </c>
      <c r="Z869" s="50">
        <f>ROUND(IF(AQ869="5",BJ869,0),2)</f>
        <v>0</v>
      </c>
      <c r="AB869" s="50">
        <f>ROUND(IF(AQ869="1",BH869,0),2)</f>
        <v>0</v>
      </c>
      <c r="AC869" s="50">
        <f>ROUND(IF(AQ869="1",BI869,0),2)</f>
        <v>0</v>
      </c>
      <c r="AD869" s="50">
        <f>ROUND(IF(AQ869="7",BH869,0),2)</f>
        <v>0</v>
      </c>
      <c r="AE869" s="50">
        <f>ROUND(IF(AQ869="7",BI869,0),2)</f>
        <v>0</v>
      </c>
      <c r="AF869" s="50">
        <f>ROUND(IF(AQ869="2",BH869,0),2)</f>
        <v>0</v>
      </c>
      <c r="AG869" s="50">
        <f>ROUND(IF(AQ869="2",BI869,0),2)</f>
        <v>0</v>
      </c>
      <c r="AH869" s="50">
        <f>ROUND(IF(AQ869="0",BJ869,0),2)</f>
        <v>0</v>
      </c>
      <c r="AI869" s="32" t="s">
        <v>4</v>
      </c>
      <c r="AJ869" s="50">
        <f>IF(AN869=0,J869,0)</f>
        <v>0</v>
      </c>
      <c r="AK869" s="50">
        <f>IF(AN869=12,J869,0)</f>
        <v>0</v>
      </c>
      <c r="AL869" s="50">
        <f>IF(AN869=21,J869,0)</f>
        <v>0</v>
      </c>
      <c r="AN869" s="50">
        <v>21</v>
      </c>
      <c r="AO869" s="50">
        <f>G869*0.385305897</f>
        <v>0</v>
      </c>
      <c r="AP869" s="50">
        <f>G869*(1-0.385305897)</f>
        <v>0</v>
      </c>
      <c r="AQ869" s="52" t="s">
        <v>158</v>
      </c>
      <c r="AV869" s="50">
        <f>ROUND(AW869+AX869,2)</f>
        <v>0</v>
      </c>
      <c r="AW869" s="50">
        <f>ROUND(F869*AO869,2)</f>
        <v>0</v>
      </c>
      <c r="AX869" s="50">
        <f>ROUND(F869*AP869,2)</f>
        <v>0</v>
      </c>
      <c r="AY869" s="52" t="s">
        <v>1368</v>
      </c>
      <c r="AZ869" s="52" t="s">
        <v>1369</v>
      </c>
      <c r="BA869" s="32" t="s">
        <v>119</v>
      </c>
      <c r="BC869" s="50">
        <f>AW869+AX869</f>
        <v>0</v>
      </c>
      <c r="BD869" s="50">
        <f>G869/(100-BE869)*100</f>
        <v>0</v>
      </c>
      <c r="BE869" s="50">
        <v>0</v>
      </c>
      <c r="BF869" s="50">
        <f>869</f>
        <v>869</v>
      </c>
      <c r="BH869" s="50">
        <f>F869*AO869</f>
        <v>0</v>
      </c>
      <c r="BI869" s="50">
        <f>F869*AP869</f>
        <v>0</v>
      </c>
      <c r="BJ869" s="50">
        <f>F869*G869</f>
        <v>0</v>
      </c>
      <c r="BK869" s="50"/>
      <c r="BL869" s="50">
        <v>771</v>
      </c>
      <c r="BW869" s="50">
        <v>21</v>
      </c>
      <c r="BX869" s="3" t="s">
        <v>1382</v>
      </c>
    </row>
    <row r="870" spans="1:76" ht="13.5" customHeight="1" x14ac:dyDescent="0.3">
      <c r="A870" s="53"/>
      <c r="B870" s="57" t="s">
        <v>198</v>
      </c>
      <c r="C870" s="150" t="s">
        <v>1383</v>
      </c>
      <c r="D870" s="151"/>
      <c r="E870" s="151"/>
      <c r="F870" s="151"/>
      <c r="G870" s="151"/>
      <c r="H870" s="151"/>
      <c r="I870" s="151"/>
      <c r="J870" s="151"/>
      <c r="K870" s="152"/>
    </row>
    <row r="871" spans="1:76" ht="14.4" x14ac:dyDescent="0.3">
      <c r="A871" s="53"/>
      <c r="C871" s="54" t="s">
        <v>514</v>
      </c>
      <c r="D871" s="54" t="s">
        <v>4</v>
      </c>
      <c r="F871" s="55">
        <v>81</v>
      </c>
      <c r="K871" s="56"/>
    </row>
    <row r="872" spans="1:76" ht="14.4" x14ac:dyDescent="0.3">
      <c r="A872" s="1" t="s">
        <v>1384</v>
      </c>
      <c r="B872" s="2" t="s">
        <v>1385</v>
      </c>
      <c r="C872" s="75" t="s">
        <v>1386</v>
      </c>
      <c r="D872" s="70"/>
      <c r="E872" s="2" t="s">
        <v>216</v>
      </c>
      <c r="F872" s="50">
        <v>51.66</v>
      </c>
      <c r="G872" s="50">
        <v>0</v>
      </c>
      <c r="H872" s="50">
        <f>ROUND(F872*AO872,2)</f>
        <v>0</v>
      </c>
      <c r="I872" s="50">
        <f>ROUND(F872*AP872,2)</f>
        <v>0</v>
      </c>
      <c r="J872" s="50">
        <f>ROUND(F872*G872,2)</f>
        <v>0</v>
      </c>
      <c r="K872" s="51" t="s">
        <v>116</v>
      </c>
      <c r="Z872" s="50">
        <f>ROUND(IF(AQ872="5",BJ872,0),2)</f>
        <v>0</v>
      </c>
      <c r="AB872" s="50">
        <f>ROUND(IF(AQ872="1",BH872,0),2)</f>
        <v>0</v>
      </c>
      <c r="AC872" s="50">
        <f>ROUND(IF(AQ872="1",BI872,0),2)</f>
        <v>0</v>
      </c>
      <c r="AD872" s="50">
        <f>ROUND(IF(AQ872="7",BH872,0),2)</f>
        <v>0</v>
      </c>
      <c r="AE872" s="50">
        <f>ROUND(IF(AQ872="7",BI872,0),2)</f>
        <v>0</v>
      </c>
      <c r="AF872" s="50">
        <f>ROUND(IF(AQ872="2",BH872,0),2)</f>
        <v>0</v>
      </c>
      <c r="AG872" s="50">
        <f>ROUND(IF(AQ872="2",BI872,0),2)</f>
        <v>0</v>
      </c>
      <c r="AH872" s="50">
        <f>ROUND(IF(AQ872="0",BJ872,0),2)</f>
        <v>0</v>
      </c>
      <c r="AI872" s="32" t="s">
        <v>4</v>
      </c>
      <c r="AJ872" s="50">
        <f>IF(AN872=0,J872,0)</f>
        <v>0</v>
      </c>
      <c r="AK872" s="50">
        <f>IF(AN872=12,J872,0)</f>
        <v>0</v>
      </c>
      <c r="AL872" s="50">
        <f>IF(AN872=21,J872,0)</f>
        <v>0</v>
      </c>
      <c r="AN872" s="50">
        <v>21</v>
      </c>
      <c r="AO872" s="50">
        <f>G872*1</f>
        <v>0</v>
      </c>
      <c r="AP872" s="50">
        <f>G872*(1-1)</f>
        <v>0</v>
      </c>
      <c r="AQ872" s="52" t="s">
        <v>158</v>
      </c>
      <c r="AV872" s="50">
        <f>ROUND(AW872+AX872,2)</f>
        <v>0</v>
      </c>
      <c r="AW872" s="50">
        <f>ROUND(F872*AO872,2)</f>
        <v>0</v>
      </c>
      <c r="AX872" s="50">
        <f>ROUND(F872*AP872,2)</f>
        <v>0</v>
      </c>
      <c r="AY872" s="52" t="s">
        <v>1368</v>
      </c>
      <c r="AZ872" s="52" t="s">
        <v>1369</v>
      </c>
      <c r="BA872" s="32" t="s">
        <v>119</v>
      </c>
      <c r="BC872" s="50">
        <f>AW872+AX872</f>
        <v>0</v>
      </c>
      <c r="BD872" s="50">
        <f>G872/(100-BE872)*100</f>
        <v>0</v>
      </c>
      <c r="BE872" s="50">
        <v>0</v>
      </c>
      <c r="BF872" s="50">
        <f>872</f>
        <v>872</v>
      </c>
      <c r="BH872" s="50">
        <f>F872*AO872</f>
        <v>0</v>
      </c>
      <c r="BI872" s="50">
        <f>F872*AP872</f>
        <v>0</v>
      </c>
      <c r="BJ872" s="50">
        <f>F872*G872</f>
        <v>0</v>
      </c>
      <c r="BK872" s="50"/>
      <c r="BL872" s="50">
        <v>771</v>
      </c>
      <c r="BW872" s="50">
        <v>21</v>
      </c>
      <c r="BX872" s="3" t="s">
        <v>1386</v>
      </c>
    </row>
    <row r="873" spans="1:76" ht="14.4" x14ac:dyDescent="0.3">
      <c r="A873" s="53"/>
      <c r="C873" s="54" t="s">
        <v>509</v>
      </c>
      <c r="D873" s="54" t="s">
        <v>4</v>
      </c>
      <c r="F873" s="55">
        <v>51.66</v>
      </c>
      <c r="K873" s="56"/>
    </row>
    <row r="874" spans="1:76" ht="14.4" x14ac:dyDescent="0.3">
      <c r="A874" s="1" t="s">
        <v>1387</v>
      </c>
      <c r="B874" s="2" t="s">
        <v>1388</v>
      </c>
      <c r="C874" s="75" t="s">
        <v>1389</v>
      </c>
      <c r="D874" s="70"/>
      <c r="E874" s="2" t="s">
        <v>233</v>
      </c>
      <c r="F874" s="50">
        <v>40.1</v>
      </c>
      <c r="G874" s="50">
        <v>0</v>
      </c>
      <c r="H874" s="50">
        <f>ROUND(F874*AO874,2)</f>
        <v>0</v>
      </c>
      <c r="I874" s="50">
        <f>ROUND(F874*AP874,2)</f>
        <v>0</v>
      </c>
      <c r="J874" s="50">
        <f>ROUND(F874*G874,2)</f>
        <v>0</v>
      </c>
      <c r="K874" s="51" t="s">
        <v>116</v>
      </c>
      <c r="Z874" s="50">
        <f>ROUND(IF(AQ874="5",BJ874,0),2)</f>
        <v>0</v>
      </c>
      <c r="AB874" s="50">
        <f>ROUND(IF(AQ874="1",BH874,0),2)</f>
        <v>0</v>
      </c>
      <c r="AC874" s="50">
        <f>ROUND(IF(AQ874="1",BI874,0),2)</f>
        <v>0</v>
      </c>
      <c r="AD874" s="50">
        <f>ROUND(IF(AQ874="7",BH874,0),2)</f>
        <v>0</v>
      </c>
      <c r="AE874" s="50">
        <f>ROUND(IF(AQ874="7",BI874,0),2)</f>
        <v>0</v>
      </c>
      <c r="AF874" s="50">
        <f>ROUND(IF(AQ874="2",BH874,0),2)</f>
        <v>0</v>
      </c>
      <c r="AG874" s="50">
        <f>ROUND(IF(AQ874="2",BI874,0),2)</f>
        <v>0</v>
      </c>
      <c r="AH874" s="50">
        <f>ROUND(IF(AQ874="0",BJ874,0),2)</f>
        <v>0</v>
      </c>
      <c r="AI874" s="32" t="s">
        <v>4</v>
      </c>
      <c r="AJ874" s="50">
        <f>IF(AN874=0,J874,0)</f>
        <v>0</v>
      </c>
      <c r="AK874" s="50">
        <f>IF(AN874=12,J874,0)</f>
        <v>0</v>
      </c>
      <c r="AL874" s="50">
        <f>IF(AN874=21,J874,0)</f>
        <v>0</v>
      </c>
      <c r="AN874" s="50">
        <v>21</v>
      </c>
      <c r="AO874" s="50">
        <f>G874*0.141486284</f>
        <v>0</v>
      </c>
      <c r="AP874" s="50">
        <f>G874*(1-0.141486284)</f>
        <v>0</v>
      </c>
      <c r="AQ874" s="52" t="s">
        <v>158</v>
      </c>
      <c r="AV874" s="50">
        <f>ROUND(AW874+AX874,2)</f>
        <v>0</v>
      </c>
      <c r="AW874" s="50">
        <f>ROUND(F874*AO874,2)</f>
        <v>0</v>
      </c>
      <c r="AX874" s="50">
        <f>ROUND(F874*AP874,2)</f>
        <v>0</v>
      </c>
      <c r="AY874" s="52" t="s">
        <v>1368</v>
      </c>
      <c r="AZ874" s="52" t="s">
        <v>1369</v>
      </c>
      <c r="BA874" s="32" t="s">
        <v>119</v>
      </c>
      <c r="BC874" s="50">
        <f>AW874+AX874</f>
        <v>0</v>
      </c>
      <c r="BD874" s="50">
        <f>G874/(100-BE874)*100</f>
        <v>0</v>
      </c>
      <c r="BE874" s="50">
        <v>0</v>
      </c>
      <c r="BF874" s="50">
        <f>874</f>
        <v>874</v>
      </c>
      <c r="BH874" s="50">
        <f>F874*AO874</f>
        <v>0</v>
      </c>
      <c r="BI874" s="50">
        <f>F874*AP874</f>
        <v>0</v>
      </c>
      <c r="BJ874" s="50">
        <f>F874*G874</f>
        <v>0</v>
      </c>
      <c r="BK874" s="50"/>
      <c r="BL874" s="50">
        <v>771</v>
      </c>
      <c r="BW874" s="50">
        <v>21</v>
      </c>
      <c r="BX874" s="3" t="s">
        <v>1389</v>
      </c>
    </row>
    <row r="875" spans="1:76" ht="13.5" customHeight="1" x14ac:dyDescent="0.3">
      <c r="A875" s="53"/>
      <c r="B875" s="57" t="s">
        <v>198</v>
      </c>
      <c r="C875" s="150" t="s">
        <v>1390</v>
      </c>
      <c r="D875" s="151"/>
      <c r="E875" s="151"/>
      <c r="F875" s="151"/>
      <c r="G875" s="151"/>
      <c r="H875" s="151"/>
      <c r="I875" s="151"/>
      <c r="J875" s="151"/>
      <c r="K875" s="152"/>
    </row>
    <row r="876" spans="1:76" ht="14.4" x14ac:dyDescent="0.3">
      <c r="A876" s="53"/>
      <c r="C876" s="54" t="s">
        <v>1391</v>
      </c>
      <c r="D876" s="54" t="s">
        <v>4</v>
      </c>
      <c r="F876" s="55">
        <v>40.1</v>
      </c>
      <c r="K876" s="56"/>
    </row>
    <row r="877" spans="1:76" ht="14.4" x14ac:dyDescent="0.3">
      <c r="A877" s="1" t="s">
        <v>1392</v>
      </c>
      <c r="B877" s="2" t="s">
        <v>1393</v>
      </c>
      <c r="C877" s="75" t="s">
        <v>1394</v>
      </c>
      <c r="D877" s="70"/>
      <c r="E877" s="2" t="s">
        <v>278</v>
      </c>
      <c r="F877" s="50">
        <v>140.69999999999999</v>
      </c>
      <c r="G877" s="50">
        <v>0</v>
      </c>
      <c r="H877" s="50">
        <f>ROUND(F877*AO877,2)</f>
        <v>0</v>
      </c>
      <c r="I877" s="50">
        <f>ROUND(F877*AP877,2)</f>
        <v>0</v>
      </c>
      <c r="J877" s="50">
        <f>ROUND(F877*G877,2)</f>
        <v>0</v>
      </c>
      <c r="K877" s="51" t="s">
        <v>116</v>
      </c>
      <c r="Z877" s="50">
        <f>ROUND(IF(AQ877="5",BJ877,0),2)</f>
        <v>0</v>
      </c>
      <c r="AB877" s="50">
        <f>ROUND(IF(AQ877="1",BH877,0),2)</f>
        <v>0</v>
      </c>
      <c r="AC877" s="50">
        <f>ROUND(IF(AQ877="1",BI877,0),2)</f>
        <v>0</v>
      </c>
      <c r="AD877" s="50">
        <f>ROUND(IF(AQ877="7",BH877,0),2)</f>
        <v>0</v>
      </c>
      <c r="AE877" s="50">
        <f>ROUND(IF(AQ877="7",BI877,0),2)</f>
        <v>0</v>
      </c>
      <c r="AF877" s="50">
        <f>ROUND(IF(AQ877="2",BH877,0),2)</f>
        <v>0</v>
      </c>
      <c r="AG877" s="50">
        <f>ROUND(IF(AQ877="2",BI877,0),2)</f>
        <v>0</v>
      </c>
      <c r="AH877" s="50">
        <f>ROUND(IF(AQ877="0",BJ877,0),2)</f>
        <v>0</v>
      </c>
      <c r="AI877" s="32" t="s">
        <v>4</v>
      </c>
      <c r="AJ877" s="50">
        <f>IF(AN877=0,J877,0)</f>
        <v>0</v>
      </c>
      <c r="AK877" s="50">
        <f>IF(AN877=12,J877,0)</f>
        <v>0</v>
      </c>
      <c r="AL877" s="50">
        <f>IF(AN877=21,J877,0)</f>
        <v>0</v>
      </c>
      <c r="AN877" s="50">
        <v>21</v>
      </c>
      <c r="AO877" s="50">
        <f>G877*1</f>
        <v>0</v>
      </c>
      <c r="AP877" s="50">
        <f>G877*(1-1)</f>
        <v>0</v>
      </c>
      <c r="AQ877" s="52" t="s">
        <v>158</v>
      </c>
      <c r="AV877" s="50">
        <f>ROUND(AW877+AX877,2)</f>
        <v>0</v>
      </c>
      <c r="AW877" s="50">
        <f>ROUND(F877*AO877,2)</f>
        <v>0</v>
      </c>
      <c r="AX877" s="50">
        <f>ROUND(F877*AP877,2)</f>
        <v>0</v>
      </c>
      <c r="AY877" s="52" t="s">
        <v>1368</v>
      </c>
      <c r="AZ877" s="52" t="s">
        <v>1369</v>
      </c>
      <c r="BA877" s="32" t="s">
        <v>119</v>
      </c>
      <c r="BC877" s="50">
        <f>AW877+AX877</f>
        <v>0</v>
      </c>
      <c r="BD877" s="50">
        <f>G877/(100-BE877)*100</f>
        <v>0</v>
      </c>
      <c r="BE877" s="50">
        <v>0</v>
      </c>
      <c r="BF877" s="50">
        <f>877</f>
        <v>877</v>
      </c>
      <c r="BH877" s="50">
        <f>F877*AO877</f>
        <v>0</v>
      </c>
      <c r="BI877" s="50">
        <f>F877*AP877</f>
        <v>0</v>
      </c>
      <c r="BJ877" s="50">
        <f>F877*G877</f>
        <v>0</v>
      </c>
      <c r="BK877" s="50"/>
      <c r="BL877" s="50">
        <v>771</v>
      </c>
      <c r="BW877" s="50">
        <v>21</v>
      </c>
      <c r="BX877" s="3" t="s">
        <v>1394</v>
      </c>
    </row>
    <row r="878" spans="1:76" ht="14.4" x14ac:dyDescent="0.3">
      <c r="A878" s="53"/>
      <c r="C878" s="54" t="s">
        <v>792</v>
      </c>
      <c r="D878" s="54" t="s">
        <v>4</v>
      </c>
      <c r="F878" s="55">
        <v>134</v>
      </c>
      <c r="K878" s="56"/>
    </row>
    <row r="879" spans="1:76" ht="14.4" x14ac:dyDescent="0.3">
      <c r="A879" s="53"/>
      <c r="C879" s="54" t="s">
        <v>1395</v>
      </c>
      <c r="D879" s="54" t="s">
        <v>4</v>
      </c>
      <c r="F879" s="55">
        <v>6.7</v>
      </c>
      <c r="K879" s="56"/>
    </row>
    <row r="880" spans="1:76" ht="14.4" x14ac:dyDescent="0.3">
      <c r="A880" s="1" t="s">
        <v>1396</v>
      </c>
      <c r="B880" s="2" t="s">
        <v>1397</v>
      </c>
      <c r="C880" s="75" t="s">
        <v>1398</v>
      </c>
      <c r="D880" s="70"/>
      <c r="E880" s="2" t="s">
        <v>173</v>
      </c>
      <c r="F880" s="50">
        <v>2.8597399999999999</v>
      </c>
      <c r="G880" s="50">
        <v>0</v>
      </c>
      <c r="H880" s="50">
        <f>ROUND(F880*AO880,2)</f>
        <v>0</v>
      </c>
      <c r="I880" s="50">
        <f>ROUND(F880*AP880,2)</f>
        <v>0</v>
      </c>
      <c r="J880" s="50">
        <f>ROUND(F880*G880,2)</f>
        <v>0</v>
      </c>
      <c r="K880" s="51" t="s">
        <v>116</v>
      </c>
      <c r="Z880" s="50">
        <f>ROUND(IF(AQ880="5",BJ880,0),2)</f>
        <v>0</v>
      </c>
      <c r="AB880" s="50">
        <f>ROUND(IF(AQ880="1",BH880,0),2)</f>
        <v>0</v>
      </c>
      <c r="AC880" s="50">
        <f>ROUND(IF(AQ880="1",BI880,0),2)</f>
        <v>0</v>
      </c>
      <c r="AD880" s="50">
        <f>ROUND(IF(AQ880="7",BH880,0),2)</f>
        <v>0</v>
      </c>
      <c r="AE880" s="50">
        <f>ROUND(IF(AQ880="7",BI880,0),2)</f>
        <v>0</v>
      </c>
      <c r="AF880" s="50">
        <f>ROUND(IF(AQ880="2",BH880,0),2)</f>
        <v>0</v>
      </c>
      <c r="AG880" s="50">
        <f>ROUND(IF(AQ880="2",BI880,0),2)</f>
        <v>0</v>
      </c>
      <c r="AH880" s="50">
        <f>ROUND(IF(AQ880="0",BJ880,0),2)</f>
        <v>0</v>
      </c>
      <c r="AI880" s="32" t="s">
        <v>4</v>
      </c>
      <c r="AJ880" s="50">
        <f>IF(AN880=0,J880,0)</f>
        <v>0</v>
      </c>
      <c r="AK880" s="50">
        <f>IF(AN880=12,J880,0)</f>
        <v>0</v>
      </c>
      <c r="AL880" s="50">
        <f>IF(AN880=21,J880,0)</f>
        <v>0</v>
      </c>
      <c r="AN880" s="50">
        <v>21</v>
      </c>
      <c r="AO880" s="50">
        <f>G880*0</f>
        <v>0</v>
      </c>
      <c r="AP880" s="50">
        <f>G880*(1-0)</f>
        <v>0</v>
      </c>
      <c r="AQ880" s="52" t="s">
        <v>147</v>
      </c>
      <c r="AV880" s="50">
        <f>ROUND(AW880+AX880,2)</f>
        <v>0</v>
      </c>
      <c r="AW880" s="50">
        <f>ROUND(F880*AO880,2)</f>
        <v>0</v>
      </c>
      <c r="AX880" s="50">
        <f>ROUND(F880*AP880,2)</f>
        <v>0</v>
      </c>
      <c r="AY880" s="52" t="s">
        <v>1368</v>
      </c>
      <c r="AZ880" s="52" t="s">
        <v>1369</v>
      </c>
      <c r="BA880" s="32" t="s">
        <v>119</v>
      </c>
      <c r="BC880" s="50">
        <f>AW880+AX880</f>
        <v>0</v>
      </c>
      <c r="BD880" s="50">
        <f>G880/(100-BE880)*100</f>
        <v>0</v>
      </c>
      <c r="BE880" s="50">
        <v>0</v>
      </c>
      <c r="BF880" s="50">
        <f>880</f>
        <v>880</v>
      </c>
      <c r="BH880" s="50">
        <f>F880*AO880</f>
        <v>0</v>
      </c>
      <c r="BI880" s="50">
        <f>F880*AP880</f>
        <v>0</v>
      </c>
      <c r="BJ880" s="50">
        <f>F880*G880</f>
        <v>0</v>
      </c>
      <c r="BK880" s="50"/>
      <c r="BL880" s="50">
        <v>771</v>
      </c>
      <c r="BW880" s="50">
        <v>21</v>
      </c>
      <c r="BX880" s="3" t="s">
        <v>1398</v>
      </c>
    </row>
    <row r="881" spans="1:76" ht="14.4" x14ac:dyDescent="0.3">
      <c r="A881" s="46" t="s">
        <v>4</v>
      </c>
      <c r="B881" s="47" t="s">
        <v>1399</v>
      </c>
      <c r="C881" s="148" t="s">
        <v>1400</v>
      </c>
      <c r="D881" s="149"/>
      <c r="E881" s="48" t="s">
        <v>74</v>
      </c>
      <c r="F881" s="48" t="s">
        <v>74</v>
      </c>
      <c r="G881" s="48" t="s">
        <v>74</v>
      </c>
      <c r="H881" s="26">
        <f>SUM(H882:H888)</f>
        <v>0</v>
      </c>
      <c r="I881" s="26">
        <f>SUM(I882:I888)</f>
        <v>0</v>
      </c>
      <c r="J881" s="26">
        <f>SUM(J882:J888)</f>
        <v>0</v>
      </c>
      <c r="K881" s="49" t="s">
        <v>4</v>
      </c>
      <c r="AI881" s="32" t="s">
        <v>4</v>
      </c>
      <c r="AS881" s="26">
        <f>SUM(AJ882:AJ888)</f>
        <v>0</v>
      </c>
      <c r="AT881" s="26">
        <f>SUM(AK882:AK888)</f>
        <v>0</v>
      </c>
      <c r="AU881" s="26">
        <f>SUM(AL882:AL888)</f>
        <v>0</v>
      </c>
    </row>
    <row r="882" spans="1:76" ht="14.4" x14ac:dyDescent="0.3">
      <c r="A882" s="1" t="s">
        <v>1401</v>
      </c>
      <c r="B882" s="2" t="s">
        <v>1402</v>
      </c>
      <c r="C882" s="75" t="s">
        <v>1403</v>
      </c>
      <c r="D882" s="70"/>
      <c r="E882" s="2" t="s">
        <v>216</v>
      </c>
      <c r="F882" s="50">
        <v>55.81</v>
      </c>
      <c r="G882" s="50">
        <v>0</v>
      </c>
      <c r="H882" s="50">
        <f>ROUND(F882*AO882,2)</f>
        <v>0</v>
      </c>
      <c r="I882" s="50">
        <f>ROUND(F882*AP882,2)</f>
        <v>0</v>
      </c>
      <c r="J882" s="50">
        <f>ROUND(F882*G882,2)</f>
        <v>0</v>
      </c>
      <c r="K882" s="51" t="s">
        <v>116</v>
      </c>
      <c r="Z882" s="50">
        <f>ROUND(IF(AQ882="5",BJ882,0),2)</f>
        <v>0</v>
      </c>
      <c r="AB882" s="50">
        <f>ROUND(IF(AQ882="1",BH882,0),2)</f>
        <v>0</v>
      </c>
      <c r="AC882" s="50">
        <f>ROUND(IF(AQ882="1",BI882,0),2)</f>
        <v>0</v>
      </c>
      <c r="AD882" s="50">
        <f>ROUND(IF(AQ882="7",BH882,0),2)</f>
        <v>0</v>
      </c>
      <c r="AE882" s="50">
        <f>ROUND(IF(AQ882="7",BI882,0),2)</f>
        <v>0</v>
      </c>
      <c r="AF882" s="50">
        <f>ROUND(IF(AQ882="2",BH882,0),2)</f>
        <v>0</v>
      </c>
      <c r="AG882" s="50">
        <f>ROUND(IF(AQ882="2",BI882,0),2)</f>
        <v>0</v>
      </c>
      <c r="AH882" s="50">
        <f>ROUND(IF(AQ882="0",BJ882,0),2)</f>
        <v>0</v>
      </c>
      <c r="AI882" s="32" t="s">
        <v>4</v>
      </c>
      <c r="AJ882" s="50">
        <f>IF(AN882=0,J882,0)</f>
        <v>0</v>
      </c>
      <c r="AK882" s="50">
        <f>IF(AN882=12,J882,0)</f>
        <v>0</v>
      </c>
      <c r="AL882" s="50">
        <f>IF(AN882=21,J882,0)</f>
        <v>0</v>
      </c>
      <c r="AN882" s="50">
        <v>21</v>
      </c>
      <c r="AO882" s="50">
        <f>G882*0.813007774</f>
        <v>0</v>
      </c>
      <c r="AP882" s="50">
        <f>G882*(1-0.813007774)</f>
        <v>0</v>
      </c>
      <c r="AQ882" s="52" t="s">
        <v>158</v>
      </c>
      <c r="AV882" s="50">
        <f>ROUND(AW882+AX882,2)</f>
        <v>0</v>
      </c>
      <c r="AW882" s="50">
        <f>ROUND(F882*AO882,2)</f>
        <v>0</v>
      </c>
      <c r="AX882" s="50">
        <f>ROUND(F882*AP882,2)</f>
        <v>0</v>
      </c>
      <c r="AY882" s="52" t="s">
        <v>1404</v>
      </c>
      <c r="AZ882" s="52" t="s">
        <v>1369</v>
      </c>
      <c r="BA882" s="32" t="s">
        <v>119</v>
      </c>
      <c r="BC882" s="50">
        <f>AW882+AX882</f>
        <v>0</v>
      </c>
      <c r="BD882" s="50">
        <f>G882/(100-BE882)*100</f>
        <v>0</v>
      </c>
      <c r="BE882" s="50">
        <v>0</v>
      </c>
      <c r="BF882" s="50">
        <f>882</f>
        <v>882</v>
      </c>
      <c r="BH882" s="50">
        <f>F882*AO882</f>
        <v>0</v>
      </c>
      <c r="BI882" s="50">
        <f>F882*AP882</f>
        <v>0</v>
      </c>
      <c r="BJ882" s="50">
        <f>F882*G882</f>
        <v>0</v>
      </c>
      <c r="BK882" s="50"/>
      <c r="BL882" s="50">
        <v>776</v>
      </c>
      <c r="BW882" s="50">
        <v>21</v>
      </c>
      <c r="BX882" s="3" t="s">
        <v>1403</v>
      </c>
    </row>
    <row r="883" spans="1:76" ht="13.5" customHeight="1" x14ac:dyDescent="0.3">
      <c r="A883" s="53"/>
      <c r="B883" s="57" t="s">
        <v>198</v>
      </c>
      <c r="C883" s="150" t="s">
        <v>1405</v>
      </c>
      <c r="D883" s="151"/>
      <c r="E883" s="151"/>
      <c r="F883" s="151"/>
      <c r="G883" s="151"/>
      <c r="H883" s="151"/>
      <c r="I883" s="151"/>
      <c r="J883" s="151"/>
      <c r="K883" s="152"/>
    </row>
    <row r="884" spans="1:76" ht="14.4" x14ac:dyDescent="0.3">
      <c r="A884" s="53"/>
      <c r="C884" s="54" t="s">
        <v>1406</v>
      </c>
      <c r="D884" s="54" t="s">
        <v>4</v>
      </c>
      <c r="F884" s="55">
        <v>55.81</v>
      </c>
      <c r="K884" s="56"/>
    </row>
    <row r="885" spans="1:76" ht="14.4" x14ac:dyDescent="0.3">
      <c r="A885" s="1" t="s">
        <v>1407</v>
      </c>
      <c r="B885" s="2" t="s">
        <v>1408</v>
      </c>
      <c r="C885" s="75" t="s">
        <v>1409</v>
      </c>
      <c r="D885" s="70"/>
      <c r="E885" s="2" t="s">
        <v>233</v>
      </c>
      <c r="F885" s="50">
        <v>21.17</v>
      </c>
      <c r="G885" s="50">
        <v>0</v>
      </c>
      <c r="H885" s="50">
        <f>ROUND(F885*AO885,2)</f>
        <v>0</v>
      </c>
      <c r="I885" s="50">
        <f>ROUND(F885*AP885,2)</f>
        <v>0</v>
      </c>
      <c r="J885" s="50">
        <f>ROUND(F885*G885,2)</f>
        <v>0</v>
      </c>
      <c r="K885" s="51" t="s">
        <v>116</v>
      </c>
      <c r="Z885" s="50">
        <f>ROUND(IF(AQ885="5",BJ885,0),2)</f>
        <v>0</v>
      </c>
      <c r="AB885" s="50">
        <f>ROUND(IF(AQ885="1",BH885,0),2)</f>
        <v>0</v>
      </c>
      <c r="AC885" s="50">
        <f>ROUND(IF(AQ885="1",BI885,0),2)</f>
        <v>0</v>
      </c>
      <c r="AD885" s="50">
        <f>ROUND(IF(AQ885="7",BH885,0),2)</f>
        <v>0</v>
      </c>
      <c r="AE885" s="50">
        <f>ROUND(IF(AQ885="7",BI885,0),2)</f>
        <v>0</v>
      </c>
      <c r="AF885" s="50">
        <f>ROUND(IF(AQ885="2",BH885,0),2)</f>
        <v>0</v>
      </c>
      <c r="AG885" s="50">
        <f>ROUND(IF(AQ885="2",BI885,0),2)</f>
        <v>0</v>
      </c>
      <c r="AH885" s="50">
        <f>ROUND(IF(AQ885="0",BJ885,0),2)</f>
        <v>0</v>
      </c>
      <c r="AI885" s="32" t="s">
        <v>4</v>
      </c>
      <c r="AJ885" s="50">
        <f>IF(AN885=0,J885,0)</f>
        <v>0</v>
      </c>
      <c r="AK885" s="50">
        <f>IF(AN885=12,J885,0)</f>
        <v>0</v>
      </c>
      <c r="AL885" s="50">
        <f>IF(AN885=21,J885,0)</f>
        <v>0</v>
      </c>
      <c r="AN885" s="50">
        <v>21</v>
      </c>
      <c r="AO885" s="50">
        <f>G885*0.30460145</f>
        <v>0</v>
      </c>
      <c r="AP885" s="50">
        <f>G885*(1-0.30460145)</f>
        <v>0</v>
      </c>
      <c r="AQ885" s="52" t="s">
        <v>158</v>
      </c>
      <c r="AV885" s="50">
        <f>ROUND(AW885+AX885,2)</f>
        <v>0</v>
      </c>
      <c r="AW885" s="50">
        <f>ROUND(F885*AO885,2)</f>
        <v>0</v>
      </c>
      <c r="AX885" s="50">
        <f>ROUND(F885*AP885,2)</f>
        <v>0</v>
      </c>
      <c r="AY885" s="52" t="s">
        <v>1404</v>
      </c>
      <c r="AZ885" s="52" t="s">
        <v>1369</v>
      </c>
      <c r="BA885" s="32" t="s">
        <v>119</v>
      </c>
      <c r="BC885" s="50">
        <f>AW885+AX885</f>
        <v>0</v>
      </c>
      <c r="BD885" s="50">
        <f>G885/(100-BE885)*100</f>
        <v>0</v>
      </c>
      <c r="BE885" s="50">
        <v>0</v>
      </c>
      <c r="BF885" s="50">
        <f>885</f>
        <v>885</v>
      </c>
      <c r="BH885" s="50">
        <f>F885*AO885</f>
        <v>0</v>
      </c>
      <c r="BI885" s="50">
        <f>F885*AP885</f>
        <v>0</v>
      </c>
      <c r="BJ885" s="50">
        <f>F885*G885</f>
        <v>0</v>
      </c>
      <c r="BK885" s="50"/>
      <c r="BL885" s="50">
        <v>776</v>
      </c>
      <c r="BW885" s="50">
        <v>21</v>
      </c>
      <c r="BX885" s="3" t="s">
        <v>1409</v>
      </c>
    </row>
    <row r="886" spans="1:76" ht="13.5" customHeight="1" x14ac:dyDescent="0.3">
      <c r="A886" s="53"/>
      <c r="B886" s="57" t="s">
        <v>198</v>
      </c>
      <c r="C886" s="150" t="s">
        <v>1410</v>
      </c>
      <c r="D886" s="151"/>
      <c r="E886" s="151"/>
      <c r="F886" s="151"/>
      <c r="G886" s="151"/>
      <c r="H886" s="151"/>
      <c r="I886" s="151"/>
      <c r="J886" s="151"/>
      <c r="K886" s="152"/>
    </row>
    <row r="887" spans="1:76" ht="14.4" x14ac:dyDescent="0.3">
      <c r="A887" s="53"/>
      <c r="C887" s="54" t="s">
        <v>1411</v>
      </c>
      <c r="D887" s="54" t="s">
        <v>4</v>
      </c>
      <c r="F887" s="55">
        <v>21.17</v>
      </c>
      <c r="K887" s="56"/>
    </row>
    <row r="888" spans="1:76" ht="14.4" x14ac:dyDescent="0.3">
      <c r="A888" s="1" t="s">
        <v>1412</v>
      </c>
      <c r="B888" s="2" t="s">
        <v>1413</v>
      </c>
      <c r="C888" s="75" t="s">
        <v>1414</v>
      </c>
      <c r="D888" s="70"/>
      <c r="E888" s="2" t="s">
        <v>173</v>
      </c>
      <c r="F888" s="50">
        <v>0.26288</v>
      </c>
      <c r="G888" s="50">
        <v>0</v>
      </c>
      <c r="H888" s="50">
        <f>ROUND(F888*AO888,2)</f>
        <v>0</v>
      </c>
      <c r="I888" s="50">
        <f>ROUND(F888*AP888,2)</f>
        <v>0</v>
      </c>
      <c r="J888" s="50">
        <f>ROUND(F888*G888,2)</f>
        <v>0</v>
      </c>
      <c r="K888" s="51" t="s">
        <v>116</v>
      </c>
      <c r="Z888" s="50">
        <f>ROUND(IF(AQ888="5",BJ888,0),2)</f>
        <v>0</v>
      </c>
      <c r="AB888" s="50">
        <f>ROUND(IF(AQ888="1",BH888,0),2)</f>
        <v>0</v>
      </c>
      <c r="AC888" s="50">
        <f>ROUND(IF(AQ888="1",BI888,0),2)</f>
        <v>0</v>
      </c>
      <c r="AD888" s="50">
        <f>ROUND(IF(AQ888="7",BH888,0),2)</f>
        <v>0</v>
      </c>
      <c r="AE888" s="50">
        <f>ROUND(IF(AQ888="7",BI888,0),2)</f>
        <v>0</v>
      </c>
      <c r="AF888" s="50">
        <f>ROUND(IF(AQ888="2",BH888,0),2)</f>
        <v>0</v>
      </c>
      <c r="AG888" s="50">
        <f>ROUND(IF(AQ888="2",BI888,0),2)</f>
        <v>0</v>
      </c>
      <c r="AH888" s="50">
        <f>ROUND(IF(AQ888="0",BJ888,0),2)</f>
        <v>0</v>
      </c>
      <c r="AI888" s="32" t="s">
        <v>4</v>
      </c>
      <c r="AJ888" s="50">
        <f>IF(AN888=0,J888,0)</f>
        <v>0</v>
      </c>
      <c r="AK888" s="50">
        <f>IF(AN888=12,J888,0)</f>
        <v>0</v>
      </c>
      <c r="AL888" s="50">
        <f>IF(AN888=21,J888,0)</f>
        <v>0</v>
      </c>
      <c r="AN888" s="50">
        <v>21</v>
      </c>
      <c r="AO888" s="50">
        <f>G888*0</f>
        <v>0</v>
      </c>
      <c r="AP888" s="50">
        <f>G888*(1-0)</f>
        <v>0</v>
      </c>
      <c r="AQ888" s="52" t="s">
        <v>147</v>
      </c>
      <c r="AV888" s="50">
        <f>ROUND(AW888+AX888,2)</f>
        <v>0</v>
      </c>
      <c r="AW888" s="50">
        <f>ROUND(F888*AO888,2)</f>
        <v>0</v>
      </c>
      <c r="AX888" s="50">
        <f>ROUND(F888*AP888,2)</f>
        <v>0</v>
      </c>
      <c r="AY888" s="52" t="s">
        <v>1404</v>
      </c>
      <c r="AZ888" s="52" t="s">
        <v>1369</v>
      </c>
      <c r="BA888" s="32" t="s">
        <v>119</v>
      </c>
      <c r="BC888" s="50">
        <f>AW888+AX888</f>
        <v>0</v>
      </c>
      <c r="BD888" s="50">
        <f>G888/(100-BE888)*100</f>
        <v>0</v>
      </c>
      <c r="BE888" s="50">
        <v>0</v>
      </c>
      <c r="BF888" s="50">
        <f>888</f>
        <v>888</v>
      </c>
      <c r="BH888" s="50">
        <f>F888*AO888</f>
        <v>0</v>
      </c>
      <c r="BI888" s="50">
        <f>F888*AP888</f>
        <v>0</v>
      </c>
      <c r="BJ888" s="50">
        <f>F888*G888</f>
        <v>0</v>
      </c>
      <c r="BK888" s="50"/>
      <c r="BL888" s="50">
        <v>776</v>
      </c>
      <c r="BW888" s="50">
        <v>21</v>
      </c>
      <c r="BX888" s="3" t="s">
        <v>1414</v>
      </c>
    </row>
    <row r="889" spans="1:76" ht="14.4" x14ac:dyDescent="0.3">
      <c r="A889" s="46" t="s">
        <v>4</v>
      </c>
      <c r="B889" s="47" t="s">
        <v>1415</v>
      </c>
      <c r="C889" s="148" t="s">
        <v>1416</v>
      </c>
      <c r="D889" s="149"/>
      <c r="E889" s="48" t="s">
        <v>74</v>
      </c>
      <c r="F889" s="48" t="s">
        <v>74</v>
      </c>
      <c r="G889" s="48" t="s">
        <v>74</v>
      </c>
      <c r="H889" s="26">
        <f>SUM(H890:H910)</f>
        <v>0</v>
      </c>
      <c r="I889" s="26">
        <f>SUM(I890:I910)</f>
        <v>0</v>
      </c>
      <c r="J889" s="26">
        <f>SUM(J890:J910)</f>
        <v>0</v>
      </c>
      <c r="K889" s="49" t="s">
        <v>4</v>
      </c>
      <c r="AI889" s="32" t="s">
        <v>4</v>
      </c>
      <c r="AS889" s="26">
        <f>SUM(AJ890:AJ910)</f>
        <v>0</v>
      </c>
      <c r="AT889" s="26">
        <f>SUM(AK890:AK910)</f>
        <v>0</v>
      </c>
      <c r="AU889" s="26">
        <f>SUM(AL890:AL910)</f>
        <v>0</v>
      </c>
    </row>
    <row r="890" spans="1:76" ht="14.4" x14ac:dyDescent="0.3">
      <c r="A890" s="1" t="s">
        <v>1417</v>
      </c>
      <c r="B890" s="2" t="s">
        <v>1418</v>
      </c>
      <c r="C890" s="75" t="s">
        <v>1419</v>
      </c>
      <c r="D890" s="70"/>
      <c r="E890" s="2" t="s">
        <v>216</v>
      </c>
      <c r="F890" s="50">
        <v>67.734999999999999</v>
      </c>
      <c r="G890" s="50">
        <v>0</v>
      </c>
      <c r="H890" s="50">
        <f>ROUND(F890*AO890,2)</f>
        <v>0</v>
      </c>
      <c r="I890" s="50">
        <f>ROUND(F890*AP890,2)</f>
        <v>0</v>
      </c>
      <c r="J890" s="50">
        <f>ROUND(F890*G890,2)</f>
        <v>0</v>
      </c>
      <c r="K890" s="51" t="s">
        <v>116</v>
      </c>
      <c r="Z890" s="50">
        <f>ROUND(IF(AQ890="5",BJ890,0),2)</f>
        <v>0</v>
      </c>
      <c r="AB890" s="50">
        <f>ROUND(IF(AQ890="1",BH890,0),2)</f>
        <v>0</v>
      </c>
      <c r="AC890" s="50">
        <f>ROUND(IF(AQ890="1",BI890,0),2)</f>
        <v>0</v>
      </c>
      <c r="AD890" s="50">
        <f>ROUND(IF(AQ890="7",BH890,0),2)</f>
        <v>0</v>
      </c>
      <c r="AE890" s="50">
        <f>ROUND(IF(AQ890="7",BI890,0),2)</f>
        <v>0</v>
      </c>
      <c r="AF890" s="50">
        <f>ROUND(IF(AQ890="2",BH890,0),2)</f>
        <v>0</v>
      </c>
      <c r="AG890" s="50">
        <f>ROUND(IF(AQ890="2",BI890,0),2)</f>
        <v>0</v>
      </c>
      <c r="AH890" s="50">
        <f>ROUND(IF(AQ890="0",BJ890,0),2)</f>
        <v>0</v>
      </c>
      <c r="AI890" s="32" t="s">
        <v>4</v>
      </c>
      <c r="AJ890" s="50">
        <f>IF(AN890=0,J890,0)</f>
        <v>0</v>
      </c>
      <c r="AK890" s="50">
        <f>IF(AN890=12,J890,0)</f>
        <v>0</v>
      </c>
      <c r="AL890" s="50">
        <f>IF(AN890=21,J890,0)</f>
        <v>0</v>
      </c>
      <c r="AN890" s="50">
        <v>21</v>
      </c>
      <c r="AO890" s="50">
        <f>G890*0.37788551</f>
        <v>0</v>
      </c>
      <c r="AP890" s="50">
        <f>G890*(1-0.37788551)</f>
        <v>0</v>
      </c>
      <c r="AQ890" s="52" t="s">
        <v>158</v>
      </c>
      <c r="AV890" s="50">
        <f>ROUND(AW890+AX890,2)</f>
        <v>0</v>
      </c>
      <c r="AW890" s="50">
        <f>ROUND(F890*AO890,2)</f>
        <v>0</v>
      </c>
      <c r="AX890" s="50">
        <f>ROUND(F890*AP890,2)</f>
        <v>0</v>
      </c>
      <c r="AY890" s="52" t="s">
        <v>1420</v>
      </c>
      <c r="AZ890" s="52" t="s">
        <v>1421</v>
      </c>
      <c r="BA890" s="32" t="s">
        <v>119</v>
      </c>
      <c r="BC890" s="50">
        <f>AW890+AX890</f>
        <v>0</v>
      </c>
      <c r="BD890" s="50">
        <f>G890/(100-BE890)*100</f>
        <v>0</v>
      </c>
      <c r="BE890" s="50">
        <v>0</v>
      </c>
      <c r="BF890" s="50">
        <f>890</f>
        <v>890</v>
      </c>
      <c r="BH890" s="50">
        <f>F890*AO890</f>
        <v>0</v>
      </c>
      <c r="BI890" s="50">
        <f>F890*AP890</f>
        <v>0</v>
      </c>
      <c r="BJ890" s="50">
        <f>F890*G890</f>
        <v>0</v>
      </c>
      <c r="BK890" s="50"/>
      <c r="BL890" s="50">
        <v>781</v>
      </c>
      <c r="BW890" s="50">
        <v>21</v>
      </c>
      <c r="BX890" s="3" t="s">
        <v>1419</v>
      </c>
    </row>
    <row r="891" spans="1:76" ht="13.5" customHeight="1" x14ac:dyDescent="0.3">
      <c r="A891" s="53"/>
      <c r="B891" s="57" t="s">
        <v>198</v>
      </c>
      <c r="C891" s="150" t="s">
        <v>1379</v>
      </c>
      <c r="D891" s="151"/>
      <c r="E891" s="151"/>
      <c r="F891" s="151"/>
      <c r="G891" s="151"/>
      <c r="H891" s="151"/>
      <c r="I891" s="151"/>
      <c r="J891" s="151"/>
      <c r="K891" s="152"/>
    </row>
    <row r="892" spans="1:76" ht="14.4" x14ac:dyDescent="0.3">
      <c r="A892" s="53"/>
      <c r="C892" s="54" t="s">
        <v>1422</v>
      </c>
      <c r="D892" s="54" t="s">
        <v>4</v>
      </c>
      <c r="F892" s="55">
        <v>14.94</v>
      </c>
      <c r="K892" s="56"/>
    </row>
    <row r="893" spans="1:76" ht="14.4" x14ac:dyDescent="0.3">
      <c r="A893" s="53"/>
      <c r="C893" s="54" t="s">
        <v>1423</v>
      </c>
      <c r="D893" s="54" t="s">
        <v>4</v>
      </c>
      <c r="F893" s="55">
        <v>23.815000000000001</v>
      </c>
      <c r="K893" s="56"/>
    </row>
    <row r="894" spans="1:76" ht="14.4" x14ac:dyDescent="0.3">
      <c r="A894" s="53"/>
      <c r="C894" s="54" t="s">
        <v>1424</v>
      </c>
      <c r="D894" s="54" t="s">
        <v>4</v>
      </c>
      <c r="F894" s="55">
        <v>15.33</v>
      </c>
      <c r="K894" s="56"/>
    </row>
    <row r="895" spans="1:76" ht="14.4" x14ac:dyDescent="0.3">
      <c r="A895" s="53"/>
      <c r="C895" s="54" t="s">
        <v>1425</v>
      </c>
      <c r="D895" s="54" t="s">
        <v>4</v>
      </c>
      <c r="F895" s="55">
        <v>13.65</v>
      </c>
      <c r="K895" s="56"/>
    </row>
    <row r="896" spans="1:76" ht="14.4" x14ac:dyDescent="0.3">
      <c r="A896" s="1" t="s">
        <v>1426</v>
      </c>
      <c r="B896" s="2" t="s">
        <v>1427</v>
      </c>
      <c r="C896" s="75" t="s">
        <v>1428</v>
      </c>
      <c r="D896" s="70"/>
      <c r="E896" s="2" t="s">
        <v>216</v>
      </c>
      <c r="F896" s="50">
        <v>67.734999999999999</v>
      </c>
      <c r="G896" s="50">
        <v>0</v>
      </c>
      <c r="H896" s="50">
        <f>ROUND(F896*AO896,2)</f>
        <v>0</v>
      </c>
      <c r="I896" s="50">
        <f>ROUND(F896*AP896,2)</f>
        <v>0</v>
      </c>
      <c r="J896" s="50">
        <f>ROUND(F896*G896,2)</f>
        <v>0</v>
      </c>
      <c r="K896" s="51" t="s">
        <v>116</v>
      </c>
      <c r="Z896" s="50">
        <f>ROUND(IF(AQ896="5",BJ896,0),2)</f>
        <v>0</v>
      </c>
      <c r="AB896" s="50">
        <f>ROUND(IF(AQ896="1",BH896,0),2)</f>
        <v>0</v>
      </c>
      <c r="AC896" s="50">
        <f>ROUND(IF(AQ896="1",BI896,0),2)</f>
        <v>0</v>
      </c>
      <c r="AD896" s="50">
        <f>ROUND(IF(AQ896="7",BH896,0),2)</f>
        <v>0</v>
      </c>
      <c r="AE896" s="50">
        <f>ROUND(IF(AQ896="7",BI896,0),2)</f>
        <v>0</v>
      </c>
      <c r="AF896" s="50">
        <f>ROUND(IF(AQ896="2",BH896,0),2)</f>
        <v>0</v>
      </c>
      <c r="AG896" s="50">
        <f>ROUND(IF(AQ896="2",BI896,0),2)</f>
        <v>0</v>
      </c>
      <c r="AH896" s="50">
        <f>ROUND(IF(AQ896="0",BJ896,0),2)</f>
        <v>0</v>
      </c>
      <c r="AI896" s="32" t="s">
        <v>4</v>
      </c>
      <c r="AJ896" s="50">
        <f>IF(AN896=0,J896,0)</f>
        <v>0</v>
      </c>
      <c r="AK896" s="50">
        <f>IF(AN896=12,J896,0)</f>
        <v>0</v>
      </c>
      <c r="AL896" s="50">
        <f>IF(AN896=21,J896,0)</f>
        <v>0</v>
      </c>
      <c r="AN896" s="50">
        <v>21</v>
      </c>
      <c r="AO896" s="50">
        <f>G896*0.176333582</f>
        <v>0</v>
      </c>
      <c r="AP896" s="50">
        <f>G896*(1-0.176333582)</f>
        <v>0</v>
      </c>
      <c r="AQ896" s="52" t="s">
        <v>158</v>
      </c>
      <c r="AV896" s="50">
        <f>ROUND(AW896+AX896,2)</f>
        <v>0</v>
      </c>
      <c r="AW896" s="50">
        <f>ROUND(F896*AO896,2)</f>
        <v>0</v>
      </c>
      <c r="AX896" s="50">
        <f>ROUND(F896*AP896,2)</f>
        <v>0</v>
      </c>
      <c r="AY896" s="52" t="s">
        <v>1420</v>
      </c>
      <c r="AZ896" s="52" t="s">
        <v>1421</v>
      </c>
      <c r="BA896" s="32" t="s">
        <v>119</v>
      </c>
      <c r="BC896" s="50">
        <f>AW896+AX896</f>
        <v>0</v>
      </c>
      <c r="BD896" s="50">
        <f>G896/(100-BE896)*100</f>
        <v>0</v>
      </c>
      <c r="BE896" s="50">
        <v>0</v>
      </c>
      <c r="BF896" s="50">
        <f>896</f>
        <v>896</v>
      </c>
      <c r="BH896" s="50">
        <f>F896*AO896</f>
        <v>0</v>
      </c>
      <c r="BI896" s="50">
        <f>F896*AP896</f>
        <v>0</v>
      </c>
      <c r="BJ896" s="50">
        <f>F896*G896</f>
        <v>0</v>
      </c>
      <c r="BK896" s="50"/>
      <c r="BL896" s="50">
        <v>781</v>
      </c>
      <c r="BW896" s="50">
        <v>21</v>
      </c>
      <c r="BX896" s="3" t="s">
        <v>1428</v>
      </c>
    </row>
    <row r="897" spans="1:76" ht="13.5" customHeight="1" x14ac:dyDescent="0.3">
      <c r="A897" s="53"/>
      <c r="B897" s="57" t="s">
        <v>198</v>
      </c>
      <c r="C897" s="150" t="s">
        <v>1370</v>
      </c>
      <c r="D897" s="151"/>
      <c r="E897" s="151"/>
      <c r="F897" s="151"/>
      <c r="G897" s="151"/>
      <c r="H897" s="151"/>
      <c r="I897" s="151"/>
      <c r="J897" s="151"/>
      <c r="K897" s="152"/>
    </row>
    <row r="898" spans="1:76" ht="14.4" x14ac:dyDescent="0.3">
      <c r="A898" s="53"/>
      <c r="C898" s="54" t="s">
        <v>1422</v>
      </c>
      <c r="D898" s="54" t="s">
        <v>4</v>
      </c>
      <c r="F898" s="55">
        <v>14.94</v>
      </c>
      <c r="K898" s="56"/>
    </row>
    <row r="899" spans="1:76" ht="14.4" x14ac:dyDescent="0.3">
      <c r="A899" s="53"/>
      <c r="C899" s="54" t="s">
        <v>1423</v>
      </c>
      <c r="D899" s="54" t="s">
        <v>4</v>
      </c>
      <c r="F899" s="55">
        <v>23.815000000000001</v>
      </c>
      <c r="K899" s="56"/>
    </row>
    <row r="900" spans="1:76" ht="14.4" x14ac:dyDescent="0.3">
      <c r="A900" s="53"/>
      <c r="C900" s="54" t="s">
        <v>1424</v>
      </c>
      <c r="D900" s="54" t="s">
        <v>4</v>
      </c>
      <c r="F900" s="55">
        <v>15.33</v>
      </c>
      <c r="K900" s="56"/>
    </row>
    <row r="901" spans="1:76" ht="14.4" x14ac:dyDescent="0.3">
      <c r="A901" s="53"/>
      <c r="C901" s="54" t="s">
        <v>1425</v>
      </c>
      <c r="D901" s="54" t="s">
        <v>4</v>
      </c>
      <c r="F901" s="55">
        <v>13.65</v>
      </c>
      <c r="K901" s="56"/>
    </row>
    <row r="902" spans="1:76" ht="14.4" x14ac:dyDescent="0.3">
      <c r="A902" s="1" t="s">
        <v>1429</v>
      </c>
      <c r="B902" s="2" t="s">
        <v>1430</v>
      </c>
      <c r="C902" s="75" t="s">
        <v>1431</v>
      </c>
      <c r="D902" s="70"/>
      <c r="E902" s="2" t="s">
        <v>216</v>
      </c>
      <c r="F902" s="50">
        <v>74.508499999999998</v>
      </c>
      <c r="G902" s="50">
        <v>0</v>
      </c>
      <c r="H902" s="50">
        <f>ROUND(F902*AO902,2)</f>
        <v>0</v>
      </c>
      <c r="I902" s="50">
        <f>ROUND(F902*AP902,2)</f>
        <v>0</v>
      </c>
      <c r="J902" s="50">
        <f>ROUND(F902*G902,2)</f>
        <v>0</v>
      </c>
      <c r="K902" s="51" t="s">
        <v>116</v>
      </c>
      <c r="Z902" s="50">
        <f>ROUND(IF(AQ902="5",BJ902,0),2)</f>
        <v>0</v>
      </c>
      <c r="AB902" s="50">
        <f>ROUND(IF(AQ902="1",BH902,0),2)</f>
        <v>0</v>
      </c>
      <c r="AC902" s="50">
        <f>ROUND(IF(AQ902="1",BI902,0),2)</f>
        <v>0</v>
      </c>
      <c r="AD902" s="50">
        <f>ROUND(IF(AQ902="7",BH902,0),2)</f>
        <v>0</v>
      </c>
      <c r="AE902" s="50">
        <f>ROUND(IF(AQ902="7",BI902,0),2)</f>
        <v>0</v>
      </c>
      <c r="AF902" s="50">
        <f>ROUND(IF(AQ902="2",BH902,0),2)</f>
        <v>0</v>
      </c>
      <c r="AG902" s="50">
        <f>ROUND(IF(AQ902="2",BI902,0),2)</f>
        <v>0</v>
      </c>
      <c r="AH902" s="50">
        <f>ROUND(IF(AQ902="0",BJ902,0),2)</f>
        <v>0</v>
      </c>
      <c r="AI902" s="32" t="s">
        <v>4</v>
      </c>
      <c r="AJ902" s="50">
        <f>IF(AN902=0,J902,0)</f>
        <v>0</v>
      </c>
      <c r="AK902" s="50">
        <f>IF(AN902=12,J902,0)</f>
        <v>0</v>
      </c>
      <c r="AL902" s="50">
        <f>IF(AN902=21,J902,0)</f>
        <v>0</v>
      </c>
      <c r="AN902" s="50">
        <v>21</v>
      </c>
      <c r="AO902" s="50">
        <f>G902*1</f>
        <v>0</v>
      </c>
      <c r="AP902" s="50">
        <f>G902*(1-1)</f>
        <v>0</v>
      </c>
      <c r="AQ902" s="52" t="s">
        <v>158</v>
      </c>
      <c r="AV902" s="50">
        <f>ROUND(AW902+AX902,2)</f>
        <v>0</v>
      </c>
      <c r="AW902" s="50">
        <f>ROUND(F902*AO902,2)</f>
        <v>0</v>
      </c>
      <c r="AX902" s="50">
        <f>ROUND(F902*AP902,2)</f>
        <v>0</v>
      </c>
      <c r="AY902" s="52" t="s">
        <v>1420</v>
      </c>
      <c r="AZ902" s="52" t="s">
        <v>1421</v>
      </c>
      <c r="BA902" s="32" t="s">
        <v>119</v>
      </c>
      <c r="BC902" s="50">
        <f>AW902+AX902</f>
        <v>0</v>
      </c>
      <c r="BD902" s="50">
        <f>G902/(100-BE902)*100</f>
        <v>0</v>
      </c>
      <c r="BE902" s="50">
        <v>0</v>
      </c>
      <c r="BF902" s="50">
        <f>902</f>
        <v>902</v>
      </c>
      <c r="BH902" s="50">
        <f>F902*AO902</f>
        <v>0</v>
      </c>
      <c r="BI902" s="50">
        <f>F902*AP902</f>
        <v>0</v>
      </c>
      <c r="BJ902" s="50">
        <f>F902*G902</f>
        <v>0</v>
      </c>
      <c r="BK902" s="50"/>
      <c r="BL902" s="50">
        <v>781</v>
      </c>
      <c r="BW902" s="50">
        <v>21</v>
      </c>
      <c r="BX902" s="3" t="s">
        <v>1431</v>
      </c>
    </row>
    <row r="903" spans="1:76" ht="14.4" x14ac:dyDescent="0.3">
      <c r="A903" s="53"/>
      <c r="C903" s="54" t="s">
        <v>1432</v>
      </c>
      <c r="D903" s="54" t="s">
        <v>4</v>
      </c>
      <c r="F903" s="55">
        <v>67.734999999999999</v>
      </c>
      <c r="K903" s="56"/>
    </row>
    <row r="904" spans="1:76" ht="14.4" x14ac:dyDescent="0.3">
      <c r="A904" s="53"/>
      <c r="C904" s="54" t="s">
        <v>1433</v>
      </c>
      <c r="D904" s="54" t="s">
        <v>4</v>
      </c>
      <c r="F904" s="55">
        <v>6.7735000000000003</v>
      </c>
      <c r="K904" s="56"/>
    </row>
    <row r="905" spans="1:76" ht="14.4" x14ac:dyDescent="0.3">
      <c r="A905" s="1" t="s">
        <v>1434</v>
      </c>
      <c r="B905" s="2" t="s">
        <v>1435</v>
      </c>
      <c r="C905" s="75" t="s">
        <v>1436</v>
      </c>
      <c r="D905" s="70"/>
      <c r="E905" s="2" t="s">
        <v>216</v>
      </c>
      <c r="F905" s="50">
        <v>67.734999999999999</v>
      </c>
      <c r="G905" s="50">
        <v>0</v>
      </c>
      <c r="H905" s="50">
        <f>ROUND(F905*AO905,2)</f>
        <v>0</v>
      </c>
      <c r="I905" s="50">
        <f>ROUND(F905*AP905,2)</f>
        <v>0</v>
      </c>
      <c r="J905" s="50">
        <f>ROUND(F905*G905,2)</f>
        <v>0</v>
      </c>
      <c r="K905" s="51" t="s">
        <v>116</v>
      </c>
      <c r="Z905" s="50">
        <f>ROUND(IF(AQ905="5",BJ905,0),2)</f>
        <v>0</v>
      </c>
      <c r="AB905" s="50">
        <f>ROUND(IF(AQ905="1",BH905,0),2)</f>
        <v>0</v>
      </c>
      <c r="AC905" s="50">
        <f>ROUND(IF(AQ905="1",BI905,0),2)</f>
        <v>0</v>
      </c>
      <c r="AD905" s="50">
        <f>ROUND(IF(AQ905="7",BH905,0),2)</f>
        <v>0</v>
      </c>
      <c r="AE905" s="50">
        <f>ROUND(IF(AQ905="7",BI905,0),2)</f>
        <v>0</v>
      </c>
      <c r="AF905" s="50">
        <f>ROUND(IF(AQ905="2",BH905,0),2)</f>
        <v>0</v>
      </c>
      <c r="AG905" s="50">
        <f>ROUND(IF(AQ905="2",BI905,0),2)</f>
        <v>0</v>
      </c>
      <c r="AH905" s="50">
        <f>ROUND(IF(AQ905="0",BJ905,0),2)</f>
        <v>0</v>
      </c>
      <c r="AI905" s="32" t="s">
        <v>4</v>
      </c>
      <c r="AJ905" s="50">
        <f>IF(AN905=0,J905,0)</f>
        <v>0</v>
      </c>
      <c r="AK905" s="50">
        <f>IF(AN905=12,J905,0)</f>
        <v>0</v>
      </c>
      <c r="AL905" s="50">
        <f>IF(AN905=21,J905,0)</f>
        <v>0</v>
      </c>
      <c r="AN905" s="50">
        <v>21</v>
      </c>
      <c r="AO905" s="50">
        <f>G905*1</f>
        <v>0</v>
      </c>
      <c r="AP905" s="50">
        <f>G905*(1-1)</f>
        <v>0</v>
      </c>
      <c r="AQ905" s="52" t="s">
        <v>158</v>
      </c>
      <c r="AV905" s="50">
        <f>ROUND(AW905+AX905,2)</f>
        <v>0</v>
      </c>
      <c r="AW905" s="50">
        <f>ROUND(F905*AO905,2)</f>
        <v>0</v>
      </c>
      <c r="AX905" s="50">
        <f>ROUND(F905*AP905,2)</f>
        <v>0</v>
      </c>
      <c r="AY905" s="52" t="s">
        <v>1420</v>
      </c>
      <c r="AZ905" s="52" t="s">
        <v>1421</v>
      </c>
      <c r="BA905" s="32" t="s">
        <v>119</v>
      </c>
      <c r="BC905" s="50">
        <f>AW905+AX905</f>
        <v>0</v>
      </c>
      <c r="BD905" s="50">
        <f>G905/(100-BE905)*100</f>
        <v>0</v>
      </c>
      <c r="BE905" s="50">
        <v>0</v>
      </c>
      <c r="BF905" s="50">
        <f>905</f>
        <v>905</v>
      </c>
      <c r="BH905" s="50">
        <f>F905*AO905</f>
        <v>0</v>
      </c>
      <c r="BI905" s="50">
        <f>F905*AP905</f>
        <v>0</v>
      </c>
      <c r="BJ905" s="50">
        <f>F905*G905</f>
        <v>0</v>
      </c>
      <c r="BK905" s="50"/>
      <c r="BL905" s="50">
        <v>781</v>
      </c>
      <c r="BW905" s="50">
        <v>21</v>
      </c>
      <c r="BX905" s="3" t="s">
        <v>1436</v>
      </c>
    </row>
    <row r="906" spans="1:76" ht="14.4" x14ac:dyDescent="0.3">
      <c r="A906" s="53"/>
      <c r="C906" s="54" t="s">
        <v>1432</v>
      </c>
      <c r="D906" s="54" t="s">
        <v>4</v>
      </c>
      <c r="F906" s="55">
        <v>67.734999999999999</v>
      </c>
      <c r="K906" s="56"/>
    </row>
    <row r="907" spans="1:76" ht="14.4" x14ac:dyDescent="0.3">
      <c r="A907" s="1" t="s">
        <v>1437</v>
      </c>
      <c r="B907" s="2" t="s">
        <v>1438</v>
      </c>
      <c r="C907" s="75" t="s">
        <v>1439</v>
      </c>
      <c r="D907" s="70"/>
      <c r="E907" s="2" t="s">
        <v>233</v>
      </c>
      <c r="F907" s="50">
        <v>11</v>
      </c>
      <c r="G907" s="50">
        <v>0</v>
      </c>
      <c r="H907" s="50">
        <f>ROUND(F907*AO907,2)</f>
        <v>0</v>
      </c>
      <c r="I907" s="50">
        <f>ROUND(F907*AP907,2)</f>
        <v>0</v>
      </c>
      <c r="J907" s="50">
        <f>ROUND(F907*G907,2)</f>
        <v>0</v>
      </c>
      <c r="K907" s="51" t="s">
        <v>116</v>
      </c>
      <c r="Z907" s="50">
        <f>ROUND(IF(AQ907="5",BJ907,0),2)</f>
        <v>0</v>
      </c>
      <c r="AB907" s="50">
        <f>ROUND(IF(AQ907="1",BH907,0),2)</f>
        <v>0</v>
      </c>
      <c r="AC907" s="50">
        <f>ROUND(IF(AQ907="1",BI907,0),2)</f>
        <v>0</v>
      </c>
      <c r="AD907" s="50">
        <f>ROUND(IF(AQ907="7",BH907,0),2)</f>
        <v>0</v>
      </c>
      <c r="AE907" s="50">
        <f>ROUND(IF(AQ907="7",BI907,0),2)</f>
        <v>0</v>
      </c>
      <c r="AF907" s="50">
        <f>ROUND(IF(AQ907="2",BH907,0),2)</f>
        <v>0</v>
      </c>
      <c r="AG907" s="50">
        <f>ROUND(IF(AQ907="2",BI907,0),2)</f>
        <v>0</v>
      </c>
      <c r="AH907" s="50">
        <f>ROUND(IF(AQ907="0",BJ907,0),2)</f>
        <v>0</v>
      </c>
      <c r="AI907" s="32" t="s">
        <v>4</v>
      </c>
      <c r="AJ907" s="50">
        <f>IF(AN907=0,J907,0)</f>
        <v>0</v>
      </c>
      <c r="AK907" s="50">
        <f>IF(AN907=12,J907,0)</f>
        <v>0</v>
      </c>
      <c r="AL907" s="50">
        <f>IF(AN907=21,J907,0)</f>
        <v>0</v>
      </c>
      <c r="AN907" s="50">
        <v>21</v>
      </c>
      <c r="AO907" s="50">
        <f>G907*0.88491878</f>
        <v>0</v>
      </c>
      <c r="AP907" s="50">
        <f>G907*(1-0.88491878)</f>
        <v>0</v>
      </c>
      <c r="AQ907" s="52" t="s">
        <v>158</v>
      </c>
      <c r="AV907" s="50">
        <f>ROUND(AW907+AX907,2)</f>
        <v>0</v>
      </c>
      <c r="AW907" s="50">
        <f>ROUND(F907*AO907,2)</f>
        <v>0</v>
      </c>
      <c r="AX907" s="50">
        <f>ROUND(F907*AP907,2)</f>
        <v>0</v>
      </c>
      <c r="AY907" s="52" t="s">
        <v>1420</v>
      </c>
      <c r="AZ907" s="52" t="s">
        <v>1421</v>
      </c>
      <c r="BA907" s="32" t="s">
        <v>119</v>
      </c>
      <c r="BC907" s="50">
        <f>AW907+AX907</f>
        <v>0</v>
      </c>
      <c r="BD907" s="50">
        <f>G907/(100-BE907)*100</f>
        <v>0</v>
      </c>
      <c r="BE907" s="50">
        <v>0</v>
      </c>
      <c r="BF907" s="50">
        <f>907</f>
        <v>907</v>
      </c>
      <c r="BH907" s="50">
        <f>F907*AO907</f>
        <v>0</v>
      </c>
      <c r="BI907" s="50">
        <f>F907*AP907</f>
        <v>0</v>
      </c>
      <c r="BJ907" s="50">
        <f>F907*G907</f>
        <v>0</v>
      </c>
      <c r="BK907" s="50"/>
      <c r="BL907" s="50">
        <v>781</v>
      </c>
      <c r="BW907" s="50">
        <v>21</v>
      </c>
      <c r="BX907" s="3" t="s">
        <v>1439</v>
      </c>
    </row>
    <row r="908" spans="1:76" ht="13.5" customHeight="1" x14ac:dyDescent="0.3">
      <c r="A908" s="53"/>
      <c r="B908" s="57" t="s">
        <v>198</v>
      </c>
      <c r="C908" s="150" t="s">
        <v>1440</v>
      </c>
      <c r="D908" s="151"/>
      <c r="E908" s="151"/>
      <c r="F908" s="151"/>
      <c r="G908" s="151"/>
      <c r="H908" s="151"/>
      <c r="I908" s="151"/>
      <c r="J908" s="151"/>
      <c r="K908" s="152"/>
    </row>
    <row r="909" spans="1:76" ht="14.4" x14ac:dyDescent="0.3">
      <c r="A909" s="53"/>
      <c r="C909" s="54" t="s">
        <v>1441</v>
      </c>
      <c r="D909" s="54" t="s">
        <v>4</v>
      </c>
      <c r="F909" s="55">
        <v>11</v>
      </c>
      <c r="K909" s="56"/>
    </row>
    <row r="910" spans="1:76" ht="14.4" x14ac:dyDescent="0.3">
      <c r="A910" s="1" t="s">
        <v>1442</v>
      </c>
      <c r="B910" s="2" t="s">
        <v>1443</v>
      </c>
      <c r="C910" s="75" t="s">
        <v>1444</v>
      </c>
      <c r="D910" s="70"/>
      <c r="E910" s="2" t="s">
        <v>173</v>
      </c>
      <c r="F910" s="50">
        <v>1.7859799999999999</v>
      </c>
      <c r="G910" s="50">
        <v>0</v>
      </c>
      <c r="H910" s="50">
        <f>ROUND(F910*AO910,2)</f>
        <v>0</v>
      </c>
      <c r="I910" s="50">
        <f>ROUND(F910*AP910,2)</f>
        <v>0</v>
      </c>
      <c r="J910" s="50">
        <f>ROUND(F910*G910,2)</f>
        <v>0</v>
      </c>
      <c r="K910" s="51" t="s">
        <v>116</v>
      </c>
      <c r="Z910" s="50">
        <f>ROUND(IF(AQ910="5",BJ910,0),2)</f>
        <v>0</v>
      </c>
      <c r="AB910" s="50">
        <f>ROUND(IF(AQ910="1",BH910,0),2)</f>
        <v>0</v>
      </c>
      <c r="AC910" s="50">
        <f>ROUND(IF(AQ910="1",BI910,0),2)</f>
        <v>0</v>
      </c>
      <c r="AD910" s="50">
        <f>ROUND(IF(AQ910="7",BH910,0),2)</f>
        <v>0</v>
      </c>
      <c r="AE910" s="50">
        <f>ROUND(IF(AQ910="7",BI910,0),2)</f>
        <v>0</v>
      </c>
      <c r="AF910" s="50">
        <f>ROUND(IF(AQ910="2",BH910,0),2)</f>
        <v>0</v>
      </c>
      <c r="AG910" s="50">
        <f>ROUND(IF(AQ910="2",BI910,0),2)</f>
        <v>0</v>
      </c>
      <c r="AH910" s="50">
        <f>ROUND(IF(AQ910="0",BJ910,0),2)</f>
        <v>0</v>
      </c>
      <c r="AI910" s="32" t="s">
        <v>4</v>
      </c>
      <c r="AJ910" s="50">
        <f>IF(AN910=0,J910,0)</f>
        <v>0</v>
      </c>
      <c r="AK910" s="50">
        <f>IF(AN910=12,J910,0)</f>
        <v>0</v>
      </c>
      <c r="AL910" s="50">
        <f>IF(AN910=21,J910,0)</f>
        <v>0</v>
      </c>
      <c r="AN910" s="50">
        <v>21</v>
      </c>
      <c r="AO910" s="50">
        <f>G910*0</f>
        <v>0</v>
      </c>
      <c r="AP910" s="50">
        <f>G910*(1-0)</f>
        <v>0</v>
      </c>
      <c r="AQ910" s="52" t="s">
        <v>147</v>
      </c>
      <c r="AV910" s="50">
        <f>ROUND(AW910+AX910,2)</f>
        <v>0</v>
      </c>
      <c r="AW910" s="50">
        <f>ROUND(F910*AO910,2)</f>
        <v>0</v>
      </c>
      <c r="AX910" s="50">
        <f>ROUND(F910*AP910,2)</f>
        <v>0</v>
      </c>
      <c r="AY910" s="52" t="s">
        <v>1420</v>
      </c>
      <c r="AZ910" s="52" t="s">
        <v>1421</v>
      </c>
      <c r="BA910" s="32" t="s">
        <v>119</v>
      </c>
      <c r="BC910" s="50">
        <f>AW910+AX910</f>
        <v>0</v>
      </c>
      <c r="BD910" s="50">
        <f>G910/(100-BE910)*100</f>
        <v>0</v>
      </c>
      <c r="BE910" s="50">
        <v>0</v>
      </c>
      <c r="BF910" s="50">
        <f>910</f>
        <v>910</v>
      </c>
      <c r="BH910" s="50">
        <f>F910*AO910</f>
        <v>0</v>
      </c>
      <c r="BI910" s="50">
        <f>F910*AP910</f>
        <v>0</v>
      </c>
      <c r="BJ910" s="50">
        <f>F910*G910</f>
        <v>0</v>
      </c>
      <c r="BK910" s="50"/>
      <c r="BL910" s="50">
        <v>781</v>
      </c>
      <c r="BW910" s="50">
        <v>21</v>
      </c>
      <c r="BX910" s="3" t="s">
        <v>1444</v>
      </c>
    </row>
    <row r="911" spans="1:76" ht="14.4" x14ac:dyDescent="0.3">
      <c r="A911" s="46" t="s">
        <v>4</v>
      </c>
      <c r="B911" s="47" t="s">
        <v>1445</v>
      </c>
      <c r="C911" s="148" t="s">
        <v>1446</v>
      </c>
      <c r="D911" s="149"/>
      <c r="E911" s="48" t="s">
        <v>74</v>
      </c>
      <c r="F911" s="48" t="s">
        <v>74</v>
      </c>
      <c r="G911" s="48" t="s">
        <v>74</v>
      </c>
      <c r="H911" s="26">
        <f>SUM(H912:H912)</f>
        <v>0</v>
      </c>
      <c r="I911" s="26">
        <f>SUM(I912:I912)</f>
        <v>0</v>
      </c>
      <c r="J911" s="26">
        <f>SUM(J912:J912)</f>
        <v>0</v>
      </c>
      <c r="K911" s="49" t="s">
        <v>4</v>
      </c>
      <c r="AI911" s="32" t="s">
        <v>4</v>
      </c>
      <c r="AS911" s="26">
        <f>SUM(AJ912:AJ912)</f>
        <v>0</v>
      </c>
      <c r="AT911" s="26">
        <f>SUM(AK912:AK912)</f>
        <v>0</v>
      </c>
      <c r="AU911" s="26">
        <f>SUM(AL912:AL912)</f>
        <v>0</v>
      </c>
    </row>
    <row r="912" spans="1:76" ht="14.4" x14ac:dyDescent="0.3">
      <c r="A912" s="1" t="s">
        <v>1447</v>
      </c>
      <c r="B912" s="2" t="s">
        <v>1448</v>
      </c>
      <c r="C912" s="75" t="s">
        <v>1449</v>
      </c>
      <c r="D912" s="70"/>
      <c r="E912" s="2" t="s">
        <v>216</v>
      </c>
      <c r="F912" s="50">
        <v>137.124</v>
      </c>
      <c r="G912" s="50">
        <v>0</v>
      </c>
      <c r="H912" s="50">
        <f>ROUND(F912*AO912,2)</f>
        <v>0</v>
      </c>
      <c r="I912" s="50">
        <f>ROUND(F912*AP912,2)</f>
        <v>0</v>
      </c>
      <c r="J912" s="50">
        <f>ROUND(F912*G912,2)</f>
        <v>0</v>
      </c>
      <c r="K912" s="51" t="s">
        <v>116</v>
      </c>
      <c r="Z912" s="50">
        <f>ROUND(IF(AQ912="5",BJ912,0),2)</f>
        <v>0</v>
      </c>
      <c r="AB912" s="50">
        <f>ROUND(IF(AQ912="1",BH912,0),2)</f>
        <v>0</v>
      </c>
      <c r="AC912" s="50">
        <f>ROUND(IF(AQ912="1",BI912,0),2)</f>
        <v>0</v>
      </c>
      <c r="AD912" s="50">
        <f>ROUND(IF(AQ912="7",BH912,0),2)</f>
        <v>0</v>
      </c>
      <c r="AE912" s="50">
        <f>ROUND(IF(AQ912="7",BI912,0),2)</f>
        <v>0</v>
      </c>
      <c r="AF912" s="50">
        <f>ROUND(IF(AQ912="2",BH912,0),2)</f>
        <v>0</v>
      </c>
      <c r="AG912" s="50">
        <f>ROUND(IF(AQ912="2",BI912,0),2)</f>
        <v>0</v>
      </c>
      <c r="AH912" s="50">
        <f>ROUND(IF(AQ912="0",BJ912,0),2)</f>
        <v>0</v>
      </c>
      <c r="AI912" s="32" t="s">
        <v>4</v>
      </c>
      <c r="AJ912" s="50">
        <f>IF(AN912=0,J912,0)</f>
        <v>0</v>
      </c>
      <c r="AK912" s="50">
        <f>IF(AN912=12,J912,0)</f>
        <v>0</v>
      </c>
      <c r="AL912" s="50">
        <f>IF(AN912=21,J912,0)</f>
        <v>0</v>
      </c>
      <c r="AN912" s="50">
        <v>21</v>
      </c>
      <c r="AO912" s="50">
        <f>G912*0.134806426</f>
        <v>0</v>
      </c>
      <c r="AP912" s="50">
        <f>G912*(1-0.134806426)</f>
        <v>0</v>
      </c>
      <c r="AQ912" s="52" t="s">
        <v>158</v>
      </c>
      <c r="AV912" s="50">
        <f>ROUND(AW912+AX912,2)</f>
        <v>0</v>
      </c>
      <c r="AW912" s="50">
        <f>ROUND(F912*AO912,2)</f>
        <v>0</v>
      </c>
      <c r="AX912" s="50">
        <f>ROUND(F912*AP912,2)</f>
        <v>0</v>
      </c>
      <c r="AY912" s="52" t="s">
        <v>1450</v>
      </c>
      <c r="AZ912" s="52" t="s">
        <v>1421</v>
      </c>
      <c r="BA912" s="32" t="s">
        <v>119</v>
      </c>
      <c r="BC912" s="50">
        <f>AW912+AX912</f>
        <v>0</v>
      </c>
      <c r="BD912" s="50">
        <f>G912/(100-BE912)*100</f>
        <v>0</v>
      </c>
      <c r="BE912" s="50">
        <v>0</v>
      </c>
      <c r="BF912" s="50">
        <f>912</f>
        <v>912</v>
      </c>
      <c r="BH912" s="50">
        <f>F912*AO912</f>
        <v>0</v>
      </c>
      <c r="BI912" s="50">
        <f>F912*AP912</f>
        <v>0</v>
      </c>
      <c r="BJ912" s="50">
        <f>F912*G912</f>
        <v>0</v>
      </c>
      <c r="BK912" s="50"/>
      <c r="BL912" s="50">
        <v>783</v>
      </c>
      <c r="BW912" s="50">
        <v>21</v>
      </c>
      <c r="BX912" s="3" t="s">
        <v>1449</v>
      </c>
    </row>
    <row r="913" spans="1:76" ht="14.4" x14ac:dyDescent="0.3">
      <c r="A913" s="53"/>
      <c r="C913" s="54" t="s">
        <v>1451</v>
      </c>
      <c r="D913" s="54" t="s">
        <v>4</v>
      </c>
      <c r="F913" s="55">
        <v>4.0999999999999996</v>
      </c>
      <c r="K913" s="56"/>
    </row>
    <row r="914" spans="1:76" ht="14.4" x14ac:dyDescent="0.3">
      <c r="A914" s="53"/>
      <c r="C914" s="54" t="s">
        <v>1452</v>
      </c>
      <c r="D914" s="54" t="s">
        <v>4</v>
      </c>
      <c r="F914" s="55">
        <v>17.52</v>
      </c>
      <c r="K914" s="56"/>
    </row>
    <row r="915" spans="1:76" ht="14.4" x14ac:dyDescent="0.3">
      <c r="A915" s="53"/>
      <c r="C915" s="54" t="s">
        <v>1453</v>
      </c>
      <c r="D915" s="54" t="s">
        <v>4</v>
      </c>
      <c r="F915" s="55">
        <v>24.684000000000001</v>
      </c>
      <c r="K915" s="56"/>
    </row>
    <row r="916" spans="1:76" ht="14.4" x14ac:dyDescent="0.3">
      <c r="A916" s="53"/>
      <c r="C916" s="54" t="s">
        <v>1454</v>
      </c>
      <c r="D916" s="54" t="s">
        <v>4</v>
      </c>
      <c r="F916" s="55">
        <v>20.16</v>
      </c>
      <c r="K916" s="56"/>
    </row>
    <row r="917" spans="1:76" ht="14.4" x14ac:dyDescent="0.3">
      <c r="A917" s="53"/>
      <c r="C917" s="54" t="s">
        <v>1455</v>
      </c>
      <c r="D917" s="54" t="s">
        <v>4</v>
      </c>
      <c r="F917" s="55">
        <v>49.92</v>
      </c>
      <c r="K917" s="56"/>
    </row>
    <row r="918" spans="1:76" ht="14.4" x14ac:dyDescent="0.3">
      <c r="A918" s="53"/>
      <c r="C918" s="54" t="s">
        <v>1456</v>
      </c>
      <c r="D918" s="54" t="s">
        <v>4</v>
      </c>
      <c r="F918" s="55">
        <v>20.74</v>
      </c>
      <c r="K918" s="56"/>
    </row>
    <row r="919" spans="1:76" ht="14.4" x14ac:dyDescent="0.3">
      <c r="A919" s="46" t="s">
        <v>4</v>
      </c>
      <c r="B919" s="47" t="s">
        <v>1457</v>
      </c>
      <c r="C919" s="148" t="s">
        <v>1458</v>
      </c>
      <c r="D919" s="149"/>
      <c r="E919" s="48" t="s">
        <v>74</v>
      </c>
      <c r="F919" s="48" t="s">
        <v>74</v>
      </c>
      <c r="G919" s="48" t="s">
        <v>74</v>
      </c>
      <c r="H919" s="26">
        <f>SUM(H920:H922)</f>
        <v>0</v>
      </c>
      <c r="I919" s="26">
        <f>SUM(I920:I922)</f>
        <v>0</v>
      </c>
      <c r="J919" s="26">
        <f>SUM(J920:J922)</f>
        <v>0</v>
      </c>
      <c r="K919" s="49" t="s">
        <v>4</v>
      </c>
      <c r="AI919" s="32" t="s">
        <v>4</v>
      </c>
      <c r="AS919" s="26">
        <f>SUM(AJ920:AJ922)</f>
        <v>0</v>
      </c>
      <c r="AT919" s="26">
        <f>SUM(AK920:AK922)</f>
        <v>0</v>
      </c>
      <c r="AU919" s="26">
        <f>SUM(AL920:AL922)</f>
        <v>0</v>
      </c>
    </row>
    <row r="920" spans="1:76" ht="14.4" x14ac:dyDescent="0.3">
      <c r="A920" s="1" t="s">
        <v>1459</v>
      </c>
      <c r="B920" s="2" t="s">
        <v>1460</v>
      </c>
      <c r="C920" s="75" t="s">
        <v>1461</v>
      </c>
      <c r="D920" s="70"/>
      <c r="E920" s="2" t="s">
        <v>216</v>
      </c>
      <c r="F920" s="50">
        <v>454</v>
      </c>
      <c r="G920" s="50">
        <v>0</v>
      </c>
      <c r="H920" s="50">
        <f>ROUND(F920*AO920,2)</f>
        <v>0</v>
      </c>
      <c r="I920" s="50">
        <f>ROUND(F920*AP920,2)</f>
        <v>0</v>
      </c>
      <c r="J920" s="50">
        <f>ROUND(F920*G920,2)</f>
        <v>0</v>
      </c>
      <c r="K920" s="51" t="s">
        <v>116</v>
      </c>
      <c r="Z920" s="50">
        <f>ROUND(IF(AQ920="5",BJ920,0),2)</f>
        <v>0</v>
      </c>
      <c r="AB920" s="50">
        <f>ROUND(IF(AQ920="1",BH920,0),2)</f>
        <v>0</v>
      </c>
      <c r="AC920" s="50">
        <f>ROUND(IF(AQ920="1",BI920,0),2)</f>
        <v>0</v>
      </c>
      <c r="AD920" s="50">
        <f>ROUND(IF(AQ920="7",BH920,0),2)</f>
        <v>0</v>
      </c>
      <c r="AE920" s="50">
        <f>ROUND(IF(AQ920="7",BI920,0),2)</f>
        <v>0</v>
      </c>
      <c r="AF920" s="50">
        <f>ROUND(IF(AQ920="2",BH920,0),2)</f>
        <v>0</v>
      </c>
      <c r="AG920" s="50">
        <f>ROUND(IF(AQ920="2",BI920,0),2)</f>
        <v>0</v>
      </c>
      <c r="AH920" s="50">
        <f>ROUND(IF(AQ920="0",BJ920,0),2)</f>
        <v>0</v>
      </c>
      <c r="AI920" s="32" t="s">
        <v>4</v>
      </c>
      <c r="AJ920" s="50">
        <f>IF(AN920=0,J920,0)</f>
        <v>0</v>
      </c>
      <c r="AK920" s="50">
        <f>IF(AN920=12,J920,0)</f>
        <v>0</v>
      </c>
      <c r="AL920" s="50">
        <f>IF(AN920=21,J920,0)</f>
        <v>0</v>
      </c>
      <c r="AN920" s="50">
        <v>21</v>
      </c>
      <c r="AO920" s="50">
        <f>G920*0.251533742</f>
        <v>0</v>
      </c>
      <c r="AP920" s="50">
        <f>G920*(1-0.251533742)</f>
        <v>0</v>
      </c>
      <c r="AQ920" s="52" t="s">
        <v>158</v>
      </c>
      <c r="AV920" s="50">
        <f>ROUND(AW920+AX920,2)</f>
        <v>0</v>
      </c>
      <c r="AW920" s="50">
        <f>ROUND(F920*AO920,2)</f>
        <v>0</v>
      </c>
      <c r="AX920" s="50">
        <f>ROUND(F920*AP920,2)</f>
        <v>0</v>
      </c>
      <c r="AY920" s="52" t="s">
        <v>1462</v>
      </c>
      <c r="AZ920" s="52" t="s">
        <v>1421</v>
      </c>
      <c r="BA920" s="32" t="s">
        <v>119</v>
      </c>
      <c r="BC920" s="50">
        <f>AW920+AX920</f>
        <v>0</v>
      </c>
      <c r="BD920" s="50">
        <f>G920/(100-BE920)*100</f>
        <v>0</v>
      </c>
      <c r="BE920" s="50">
        <v>0</v>
      </c>
      <c r="BF920" s="50">
        <f>920</f>
        <v>920</v>
      </c>
      <c r="BH920" s="50">
        <f>F920*AO920</f>
        <v>0</v>
      </c>
      <c r="BI920" s="50">
        <f>F920*AP920</f>
        <v>0</v>
      </c>
      <c r="BJ920" s="50">
        <f>F920*G920</f>
        <v>0</v>
      </c>
      <c r="BK920" s="50"/>
      <c r="BL920" s="50">
        <v>784</v>
      </c>
      <c r="BW920" s="50">
        <v>21</v>
      </c>
      <c r="BX920" s="3" t="s">
        <v>1461</v>
      </c>
    </row>
    <row r="921" spans="1:76" ht="14.4" x14ac:dyDescent="0.3">
      <c r="A921" s="53"/>
      <c r="C921" s="54" t="s">
        <v>1463</v>
      </c>
      <c r="D921" s="54" t="s">
        <v>4</v>
      </c>
      <c r="F921" s="55">
        <v>454</v>
      </c>
      <c r="K921" s="56"/>
    </row>
    <row r="922" spans="1:76" ht="14.4" x14ac:dyDescent="0.3">
      <c r="A922" s="1" t="s">
        <v>1464</v>
      </c>
      <c r="B922" s="2" t="s">
        <v>1465</v>
      </c>
      <c r="C922" s="75" t="s">
        <v>1466</v>
      </c>
      <c r="D922" s="70"/>
      <c r="E922" s="2" t="s">
        <v>216</v>
      </c>
      <c r="F922" s="50">
        <v>454</v>
      </c>
      <c r="G922" s="50">
        <v>0</v>
      </c>
      <c r="H922" s="50">
        <f>ROUND(F922*AO922,2)</f>
        <v>0</v>
      </c>
      <c r="I922" s="50">
        <f>ROUND(F922*AP922,2)</f>
        <v>0</v>
      </c>
      <c r="J922" s="50">
        <f>ROUND(F922*G922,2)</f>
        <v>0</v>
      </c>
      <c r="K922" s="51" t="s">
        <v>116</v>
      </c>
      <c r="Z922" s="50">
        <f>ROUND(IF(AQ922="5",BJ922,0),2)</f>
        <v>0</v>
      </c>
      <c r="AB922" s="50">
        <f>ROUND(IF(AQ922="1",BH922,0),2)</f>
        <v>0</v>
      </c>
      <c r="AC922" s="50">
        <f>ROUND(IF(AQ922="1",BI922,0),2)</f>
        <v>0</v>
      </c>
      <c r="AD922" s="50">
        <f>ROUND(IF(AQ922="7",BH922,0),2)</f>
        <v>0</v>
      </c>
      <c r="AE922" s="50">
        <f>ROUND(IF(AQ922="7",BI922,0),2)</f>
        <v>0</v>
      </c>
      <c r="AF922" s="50">
        <f>ROUND(IF(AQ922="2",BH922,0),2)</f>
        <v>0</v>
      </c>
      <c r="AG922" s="50">
        <f>ROUND(IF(AQ922="2",BI922,0),2)</f>
        <v>0</v>
      </c>
      <c r="AH922" s="50">
        <f>ROUND(IF(AQ922="0",BJ922,0),2)</f>
        <v>0</v>
      </c>
      <c r="AI922" s="32" t="s">
        <v>4</v>
      </c>
      <c r="AJ922" s="50">
        <f>IF(AN922=0,J922,0)</f>
        <v>0</v>
      </c>
      <c r="AK922" s="50">
        <f>IF(AN922=12,J922,0)</f>
        <v>0</v>
      </c>
      <c r="AL922" s="50">
        <f>IF(AN922=21,J922,0)</f>
        <v>0</v>
      </c>
      <c r="AN922" s="50">
        <v>21</v>
      </c>
      <c r="AO922" s="50">
        <f>G922*0.080011349</f>
        <v>0</v>
      </c>
      <c r="AP922" s="50">
        <f>G922*(1-0.080011349)</f>
        <v>0</v>
      </c>
      <c r="AQ922" s="52" t="s">
        <v>158</v>
      </c>
      <c r="AV922" s="50">
        <f>ROUND(AW922+AX922,2)</f>
        <v>0</v>
      </c>
      <c r="AW922" s="50">
        <f>ROUND(F922*AO922,2)</f>
        <v>0</v>
      </c>
      <c r="AX922" s="50">
        <f>ROUND(F922*AP922,2)</f>
        <v>0</v>
      </c>
      <c r="AY922" s="52" t="s">
        <v>1462</v>
      </c>
      <c r="AZ922" s="52" t="s">
        <v>1421</v>
      </c>
      <c r="BA922" s="32" t="s">
        <v>119</v>
      </c>
      <c r="BC922" s="50">
        <f>AW922+AX922</f>
        <v>0</v>
      </c>
      <c r="BD922" s="50">
        <f>G922/(100-BE922)*100</f>
        <v>0</v>
      </c>
      <c r="BE922" s="50">
        <v>0</v>
      </c>
      <c r="BF922" s="50">
        <f>922</f>
        <v>922</v>
      </c>
      <c r="BH922" s="50">
        <f>F922*AO922</f>
        <v>0</v>
      </c>
      <c r="BI922" s="50">
        <f>F922*AP922</f>
        <v>0</v>
      </c>
      <c r="BJ922" s="50">
        <f>F922*G922</f>
        <v>0</v>
      </c>
      <c r="BK922" s="50"/>
      <c r="BL922" s="50">
        <v>784</v>
      </c>
      <c r="BW922" s="50">
        <v>21</v>
      </c>
      <c r="BX922" s="3" t="s">
        <v>1466</v>
      </c>
    </row>
    <row r="923" spans="1:76" ht="14.4" x14ac:dyDescent="0.3">
      <c r="A923" s="53"/>
      <c r="C923" s="54" t="s">
        <v>1463</v>
      </c>
      <c r="D923" s="54" t="s">
        <v>4</v>
      </c>
      <c r="F923" s="55">
        <v>454</v>
      </c>
      <c r="K923" s="56"/>
    </row>
    <row r="924" spans="1:76" ht="14.4" x14ac:dyDescent="0.3">
      <c r="A924" s="46" t="s">
        <v>4</v>
      </c>
      <c r="B924" s="47" t="s">
        <v>539</v>
      </c>
      <c r="C924" s="148" t="s">
        <v>1467</v>
      </c>
      <c r="D924" s="149"/>
      <c r="E924" s="48" t="s">
        <v>74</v>
      </c>
      <c r="F924" s="48" t="s">
        <v>74</v>
      </c>
      <c r="G924" s="48" t="s">
        <v>74</v>
      </c>
      <c r="H924" s="26">
        <f>SUM(H925:H934)</f>
        <v>0</v>
      </c>
      <c r="I924" s="26">
        <f>SUM(I925:I934)</f>
        <v>0</v>
      </c>
      <c r="J924" s="26">
        <f>SUM(J925:J934)</f>
        <v>0</v>
      </c>
      <c r="K924" s="49" t="s">
        <v>4</v>
      </c>
      <c r="AI924" s="32" t="s">
        <v>4</v>
      </c>
      <c r="AS924" s="26">
        <f>SUM(AJ925:AJ934)</f>
        <v>0</v>
      </c>
      <c r="AT924" s="26">
        <f>SUM(AK925:AK934)</f>
        <v>0</v>
      </c>
      <c r="AU924" s="26">
        <f>SUM(AL925:AL934)</f>
        <v>0</v>
      </c>
    </row>
    <row r="925" spans="1:76" ht="14.4" x14ac:dyDescent="0.3">
      <c r="A925" s="1" t="s">
        <v>1468</v>
      </c>
      <c r="B925" s="2" t="s">
        <v>1469</v>
      </c>
      <c r="C925" s="75" t="s">
        <v>1470</v>
      </c>
      <c r="D925" s="70"/>
      <c r="E925" s="2" t="s">
        <v>233</v>
      </c>
      <c r="F925" s="50">
        <v>3.55</v>
      </c>
      <c r="G925" s="50">
        <v>0</v>
      </c>
      <c r="H925" s="50">
        <f>ROUND(F925*AO925,2)</f>
        <v>0</v>
      </c>
      <c r="I925" s="50">
        <f>ROUND(F925*AP925,2)</f>
        <v>0</v>
      </c>
      <c r="J925" s="50">
        <f>ROUND(F925*G925,2)</f>
        <v>0</v>
      </c>
      <c r="K925" s="51" t="s">
        <v>116</v>
      </c>
      <c r="Z925" s="50">
        <f>ROUND(IF(AQ925="5",BJ925,0),2)</f>
        <v>0</v>
      </c>
      <c r="AB925" s="50">
        <f>ROUND(IF(AQ925="1",BH925,0),2)</f>
        <v>0</v>
      </c>
      <c r="AC925" s="50">
        <f>ROUND(IF(AQ925="1",BI925,0),2)</f>
        <v>0</v>
      </c>
      <c r="AD925" s="50">
        <f>ROUND(IF(AQ925="7",BH925,0),2)</f>
        <v>0</v>
      </c>
      <c r="AE925" s="50">
        <f>ROUND(IF(AQ925="7",BI925,0),2)</f>
        <v>0</v>
      </c>
      <c r="AF925" s="50">
        <f>ROUND(IF(AQ925="2",BH925,0),2)</f>
        <v>0</v>
      </c>
      <c r="AG925" s="50">
        <f>ROUND(IF(AQ925="2",BI925,0),2)</f>
        <v>0</v>
      </c>
      <c r="AH925" s="50">
        <f>ROUND(IF(AQ925="0",BJ925,0),2)</f>
        <v>0</v>
      </c>
      <c r="AI925" s="32" t="s">
        <v>4</v>
      </c>
      <c r="AJ925" s="50">
        <f>IF(AN925=0,J925,0)</f>
        <v>0</v>
      </c>
      <c r="AK925" s="50">
        <f>IF(AN925=12,J925,0)</f>
        <v>0</v>
      </c>
      <c r="AL925" s="50">
        <f>IF(AN925=21,J925,0)</f>
        <v>0</v>
      </c>
      <c r="AN925" s="50">
        <v>21</v>
      </c>
      <c r="AO925" s="50">
        <f>G925*0.854889047</f>
        <v>0</v>
      </c>
      <c r="AP925" s="50">
        <f>G925*(1-0.854889047)</f>
        <v>0</v>
      </c>
      <c r="AQ925" s="52" t="s">
        <v>112</v>
      </c>
      <c r="AV925" s="50">
        <f>ROUND(AW925+AX925,2)</f>
        <v>0</v>
      </c>
      <c r="AW925" s="50">
        <f>ROUND(F925*AO925,2)</f>
        <v>0</v>
      </c>
      <c r="AX925" s="50">
        <f>ROUND(F925*AP925,2)</f>
        <v>0</v>
      </c>
      <c r="AY925" s="52" t="s">
        <v>1471</v>
      </c>
      <c r="AZ925" s="52" t="s">
        <v>1472</v>
      </c>
      <c r="BA925" s="32" t="s">
        <v>119</v>
      </c>
      <c r="BC925" s="50">
        <f>AW925+AX925</f>
        <v>0</v>
      </c>
      <c r="BD925" s="50">
        <f>G925/(100-BE925)*100</f>
        <v>0</v>
      </c>
      <c r="BE925" s="50">
        <v>0</v>
      </c>
      <c r="BF925" s="50">
        <f>925</f>
        <v>925</v>
      </c>
      <c r="BH925" s="50">
        <f>F925*AO925</f>
        <v>0</v>
      </c>
      <c r="BI925" s="50">
        <f>F925*AP925</f>
        <v>0</v>
      </c>
      <c r="BJ925" s="50">
        <f>F925*G925</f>
        <v>0</v>
      </c>
      <c r="BK925" s="50"/>
      <c r="BL925" s="50">
        <v>87</v>
      </c>
      <c r="BW925" s="50">
        <v>21</v>
      </c>
      <c r="BX925" s="3" t="s">
        <v>1470</v>
      </c>
    </row>
    <row r="926" spans="1:76" ht="13.5" customHeight="1" x14ac:dyDescent="0.3">
      <c r="A926" s="53"/>
      <c r="B926" s="57" t="s">
        <v>198</v>
      </c>
      <c r="C926" s="150" t="s">
        <v>1473</v>
      </c>
      <c r="D926" s="151"/>
      <c r="E926" s="151"/>
      <c r="F926" s="151"/>
      <c r="G926" s="151"/>
      <c r="H926" s="151"/>
      <c r="I926" s="151"/>
      <c r="J926" s="151"/>
      <c r="K926" s="152"/>
    </row>
    <row r="927" spans="1:76" ht="14.4" x14ac:dyDescent="0.3">
      <c r="A927" s="53"/>
      <c r="C927" s="54" t="s">
        <v>1474</v>
      </c>
      <c r="D927" s="54" t="s">
        <v>1475</v>
      </c>
      <c r="F927" s="55">
        <v>3.55</v>
      </c>
      <c r="K927" s="56"/>
    </row>
    <row r="928" spans="1:76" ht="14.4" x14ac:dyDescent="0.3">
      <c r="A928" s="1" t="s">
        <v>1476</v>
      </c>
      <c r="B928" s="2" t="s">
        <v>1477</v>
      </c>
      <c r="C928" s="75" t="s">
        <v>1478</v>
      </c>
      <c r="D928" s="70"/>
      <c r="E928" s="2" t="s">
        <v>233</v>
      </c>
      <c r="F928" s="50">
        <v>50</v>
      </c>
      <c r="G928" s="50">
        <v>0</v>
      </c>
      <c r="H928" s="50">
        <f>ROUND(F928*AO928,2)</f>
        <v>0</v>
      </c>
      <c r="I928" s="50">
        <f>ROUND(F928*AP928,2)</f>
        <v>0</v>
      </c>
      <c r="J928" s="50">
        <f>ROUND(F928*G928,2)</f>
        <v>0</v>
      </c>
      <c r="K928" s="51" t="s">
        <v>116</v>
      </c>
      <c r="Z928" s="50">
        <f>ROUND(IF(AQ928="5",BJ928,0),2)</f>
        <v>0</v>
      </c>
      <c r="AB928" s="50">
        <f>ROUND(IF(AQ928="1",BH928,0),2)</f>
        <v>0</v>
      </c>
      <c r="AC928" s="50">
        <f>ROUND(IF(AQ928="1",BI928,0),2)</f>
        <v>0</v>
      </c>
      <c r="AD928" s="50">
        <f>ROUND(IF(AQ928="7",BH928,0),2)</f>
        <v>0</v>
      </c>
      <c r="AE928" s="50">
        <f>ROUND(IF(AQ928="7",BI928,0),2)</f>
        <v>0</v>
      </c>
      <c r="AF928" s="50">
        <f>ROUND(IF(AQ928="2",BH928,0),2)</f>
        <v>0</v>
      </c>
      <c r="AG928" s="50">
        <f>ROUND(IF(AQ928="2",BI928,0),2)</f>
        <v>0</v>
      </c>
      <c r="AH928" s="50">
        <f>ROUND(IF(AQ928="0",BJ928,0),2)</f>
        <v>0</v>
      </c>
      <c r="AI928" s="32" t="s">
        <v>4</v>
      </c>
      <c r="AJ928" s="50">
        <f>IF(AN928=0,J928,0)</f>
        <v>0</v>
      </c>
      <c r="AK928" s="50">
        <f>IF(AN928=12,J928,0)</f>
        <v>0</v>
      </c>
      <c r="AL928" s="50">
        <f>IF(AN928=21,J928,0)</f>
        <v>0</v>
      </c>
      <c r="AN928" s="50">
        <v>21</v>
      </c>
      <c r="AO928" s="50">
        <f>G928*0</f>
        <v>0</v>
      </c>
      <c r="AP928" s="50">
        <f>G928*(1-0)</f>
        <v>0</v>
      </c>
      <c r="AQ928" s="52" t="s">
        <v>112</v>
      </c>
      <c r="AV928" s="50">
        <f>ROUND(AW928+AX928,2)</f>
        <v>0</v>
      </c>
      <c r="AW928" s="50">
        <f>ROUND(F928*AO928,2)</f>
        <v>0</v>
      </c>
      <c r="AX928" s="50">
        <f>ROUND(F928*AP928,2)</f>
        <v>0</v>
      </c>
      <c r="AY928" s="52" t="s">
        <v>1471</v>
      </c>
      <c r="AZ928" s="52" t="s">
        <v>1472</v>
      </c>
      <c r="BA928" s="32" t="s">
        <v>119</v>
      </c>
      <c r="BC928" s="50">
        <f>AW928+AX928</f>
        <v>0</v>
      </c>
      <c r="BD928" s="50">
        <f>G928/(100-BE928)*100</f>
        <v>0</v>
      </c>
      <c r="BE928" s="50">
        <v>0</v>
      </c>
      <c r="BF928" s="50">
        <f>928</f>
        <v>928</v>
      </c>
      <c r="BH928" s="50">
        <f>F928*AO928</f>
        <v>0</v>
      </c>
      <c r="BI928" s="50">
        <f>F928*AP928</f>
        <v>0</v>
      </c>
      <c r="BJ928" s="50">
        <f>F928*G928</f>
        <v>0</v>
      </c>
      <c r="BK928" s="50"/>
      <c r="BL928" s="50">
        <v>87</v>
      </c>
      <c r="BW928" s="50">
        <v>21</v>
      </c>
      <c r="BX928" s="3" t="s">
        <v>1478</v>
      </c>
    </row>
    <row r="929" spans="1:76" ht="14.4" x14ac:dyDescent="0.3">
      <c r="A929" s="53"/>
      <c r="C929" s="54" t="s">
        <v>1479</v>
      </c>
      <c r="D929" s="54" t="s">
        <v>4</v>
      </c>
      <c r="F929" s="55">
        <v>50</v>
      </c>
      <c r="K929" s="56"/>
    </row>
    <row r="930" spans="1:76" ht="14.4" x14ac:dyDescent="0.3">
      <c r="A930" s="1" t="s">
        <v>1480</v>
      </c>
      <c r="B930" s="2" t="s">
        <v>1481</v>
      </c>
      <c r="C930" s="75" t="s">
        <v>1482</v>
      </c>
      <c r="D930" s="70"/>
      <c r="E930" s="2" t="s">
        <v>233</v>
      </c>
      <c r="F930" s="50">
        <v>50</v>
      </c>
      <c r="G930" s="50">
        <v>0</v>
      </c>
      <c r="H930" s="50">
        <f>ROUND(F930*AO930,2)</f>
        <v>0</v>
      </c>
      <c r="I930" s="50">
        <f>ROUND(F930*AP930,2)</f>
        <v>0</v>
      </c>
      <c r="J930" s="50">
        <f>ROUND(F930*G930,2)</f>
        <v>0</v>
      </c>
      <c r="K930" s="51" t="s">
        <v>116</v>
      </c>
      <c r="Z930" s="50">
        <f>ROUND(IF(AQ930="5",BJ930,0),2)</f>
        <v>0</v>
      </c>
      <c r="AB930" s="50">
        <f>ROUND(IF(AQ930="1",BH930,0),2)</f>
        <v>0</v>
      </c>
      <c r="AC930" s="50">
        <f>ROUND(IF(AQ930="1",BI930,0),2)</f>
        <v>0</v>
      </c>
      <c r="AD930" s="50">
        <f>ROUND(IF(AQ930="7",BH930,0),2)</f>
        <v>0</v>
      </c>
      <c r="AE930" s="50">
        <f>ROUND(IF(AQ930="7",BI930,0),2)</f>
        <v>0</v>
      </c>
      <c r="AF930" s="50">
        <f>ROUND(IF(AQ930="2",BH930,0),2)</f>
        <v>0</v>
      </c>
      <c r="AG930" s="50">
        <f>ROUND(IF(AQ930="2",BI930,0),2)</f>
        <v>0</v>
      </c>
      <c r="AH930" s="50">
        <f>ROUND(IF(AQ930="0",BJ930,0),2)</f>
        <v>0</v>
      </c>
      <c r="AI930" s="32" t="s">
        <v>4</v>
      </c>
      <c r="AJ930" s="50">
        <f>IF(AN930=0,J930,0)</f>
        <v>0</v>
      </c>
      <c r="AK930" s="50">
        <f>IF(AN930=12,J930,0)</f>
        <v>0</v>
      </c>
      <c r="AL930" s="50">
        <f>IF(AN930=21,J930,0)</f>
        <v>0</v>
      </c>
      <c r="AN930" s="50">
        <v>21</v>
      </c>
      <c r="AO930" s="50">
        <f>G930*1</f>
        <v>0</v>
      </c>
      <c r="AP930" s="50">
        <f>G930*(1-1)</f>
        <v>0</v>
      </c>
      <c r="AQ930" s="52" t="s">
        <v>112</v>
      </c>
      <c r="AV930" s="50">
        <f>ROUND(AW930+AX930,2)</f>
        <v>0</v>
      </c>
      <c r="AW930" s="50">
        <f>ROUND(F930*AO930,2)</f>
        <v>0</v>
      </c>
      <c r="AX930" s="50">
        <f>ROUND(F930*AP930,2)</f>
        <v>0</v>
      </c>
      <c r="AY930" s="52" t="s">
        <v>1471</v>
      </c>
      <c r="AZ930" s="52" t="s">
        <v>1472</v>
      </c>
      <c r="BA930" s="32" t="s">
        <v>119</v>
      </c>
      <c r="BC930" s="50">
        <f>AW930+AX930</f>
        <v>0</v>
      </c>
      <c r="BD930" s="50">
        <f>G930/(100-BE930)*100</f>
        <v>0</v>
      </c>
      <c r="BE930" s="50">
        <v>0</v>
      </c>
      <c r="BF930" s="50">
        <f>930</f>
        <v>930</v>
      </c>
      <c r="BH930" s="50">
        <f>F930*AO930</f>
        <v>0</v>
      </c>
      <c r="BI930" s="50">
        <f>F930*AP930</f>
        <v>0</v>
      </c>
      <c r="BJ930" s="50">
        <f>F930*G930</f>
        <v>0</v>
      </c>
      <c r="BK930" s="50"/>
      <c r="BL930" s="50">
        <v>87</v>
      </c>
      <c r="BW930" s="50">
        <v>21</v>
      </c>
      <c r="BX930" s="3" t="s">
        <v>1482</v>
      </c>
    </row>
    <row r="931" spans="1:76" ht="14.4" x14ac:dyDescent="0.3">
      <c r="A931" s="53"/>
      <c r="C931" s="54" t="s">
        <v>1479</v>
      </c>
      <c r="D931" s="54" t="s">
        <v>4</v>
      </c>
      <c r="F931" s="55">
        <v>50</v>
      </c>
      <c r="K931" s="56"/>
    </row>
    <row r="932" spans="1:76" ht="14.4" x14ac:dyDescent="0.3">
      <c r="A932" s="1" t="s">
        <v>1483</v>
      </c>
      <c r="B932" s="2" t="s">
        <v>1484</v>
      </c>
      <c r="C932" s="75" t="s">
        <v>1485</v>
      </c>
      <c r="D932" s="70"/>
      <c r="E932" s="2" t="s">
        <v>233</v>
      </c>
      <c r="F932" s="50">
        <v>38</v>
      </c>
      <c r="G932" s="50">
        <v>0</v>
      </c>
      <c r="H932" s="50">
        <f>ROUND(F932*AO932,2)</f>
        <v>0</v>
      </c>
      <c r="I932" s="50">
        <f>ROUND(F932*AP932,2)</f>
        <v>0</v>
      </c>
      <c r="J932" s="50">
        <f>ROUND(F932*G932,2)</f>
        <v>0</v>
      </c>
      <c r="K932" s="51" t="s">
        <v>116</v>
      </c>
      <c r="Z932" s="50">
        <f>ROUND(IF(AQ932="5",BJ932,0),2)</f>
        <v>0</v>
      </c>
      <c r="AB932" s="50">
        <f>ROUND(IF(AQ932="1",BH932,0),2)</f>
        <v>0</v>
      </c>
      <c r="AC932" s="50">
        <f>ROUND(IF(AQ932="1",BI932,0),2)</f>
        <v>0</v>
      </c>
      <c r="AD932" s="50">
        <f>ROUND(IF(AQ932="7",BH932,0),2)</f>
        <v>0</v>
      </c>
      <c r="AE932" s="50">
        <f>ROUND(IF(AQ932="7",BI932,0),2)</f>
        <v>0</v>
      </c>
      <c r="AF932" s="50">
        <f>ROUND(IF(AQ932="2",BH932,0),2)</f>
        <v>0</v>
      </c>
      <c r="AG932" s="50">
        <f>ROUND(IF(AQ932="2",BI932,0),2)</f>
        <v>0</v>
      </c>
      <c r="AH932" s="50">
        <f>ROUND(IF(AQ932="0",BJ932,0),2)</f>
        <v>0</v>
      </c>
      <c r="AI932" s="32" t="s">
        <v>4</v>
      </c>
      <c r="AJ932" s="50">
        <f>IF(AN932=0,J932,0)</f>
        <v>0</v>
      </c>
      <c r="AK932" s="50">
        <f>IF(AN932=12,J932,0)</f>
        <v>0</v>
      </c>
      <c r="AL932" s="50">
        <f>IF(AN932=21,J932,0)</f>
        <v>0</v>
      </c>
      <c r="AN932" s="50">
        <v>21</v>
      </c>
      <c r="AO932" s="50">
        <f>G932*0</f>
        <v>0</v>
      </c>
      <c r="AP932" s="50">
        <f>G932*(1-0)</f>
        <v>0</v>
      </c>
      <c r="AQ932" s="52" t="s">
        <v>112</v>
      </c>
      <c r="AV932" s="50">
        <f>ROUND(AW932+AX932,2)</f>
        <v>0</v>
      </c>
      <c r="AW932" s="50">
        <f>ROUND(F932*AO932,2)</f>
        <v>0</v>
      </c>
      <c r="AX932" s="50">
        <f>ROUND(F932*AP932,2)</f>
        <v>0</v>
      </c>
      <c r="AY932" s="52" t="s">
        <v>1471</v>
      </c>
      <c r="AZ932" s="52" t="s">
        <v>1472</v>
      </c>
      <c r="BA932" s="32" t="s">
        <v>119</v>
      </c>
      <c r="BC932" s="50">
        <f>AW932+AX932</f>
        <v>0</v>
      </c>
      <c r="BD932" s="50">
        <f>G932/(100-BE932)*100</f>
        <v>0</v>
      </c>
      <c r="BE932" s="50">
        <v>0</v>
      </c>
      <c r="BF932" s="50">
        <f>932</f>
        <v>932</v>
      </c>
      <c r="BH932" s="50">
        <f>F932*AO932</f>
        <v>0</v>
      </c>
      <c r="BI932" s="50">
        <f>F932*AP932</f>
        <v>0</v>
      </c>
      <c r="BJ932" s="50">
        <f>F932*G932</f>
        <v>0</v>
      </c>
      <c r="BK932" s="50"/>
      <c r="BL932" s="50">
        <v>87</v>
      </c>
      <c r="BW932" s="50">
        <v>21</v>
      </c>
      <c r="BX932" s="3" t="s">
        <v>1485</v>
      </c>
    </row>
    <row r="933" spans="1:76" ht="14.4" x14ac:dyDescent="0.3">
      <c r="A933" s="53"/>
      <c r="C933" s="54" t="s">
        <v>313</v>
      </c>
      <c r="D933" s="54" t="s">
        <v>4</v>
      </c>
      <c r="F933" s="55">
        <v>38</v>
      </c>
      <c r="K933" s="56"/>
    </row>
    <row r="934" spans="1:76" ht="14.4" x14ac:dyDescent="0.3">
      <c r="A934" s="1" t="s">
        <v>1486</v>
      </c>
      <c r="B934" s="2" t="s">
        <v>1487</v>
      </c>
      <c r="C934" s="75" t="s">
        <v>1488</v>
      </c>
      <c r="D934" s="70"/>
      <c r="E934" s="2" t="s">
        <v>233</v>
      </c>
      <c r="F934" s="50">
        <v>38</v>
      </c>
      <c r="G934" s="50">
        <v>0</v>
      </c>
      <c r="H934" s="50">
        <f>ROUND(F934*AO934,2)</f>
        <v>0</v>
      </c>
      <c r="I934" s="50">
        <f>ROUND(F934*AP934,2)</f>
        <v>0</v>
      </c>
      <c r="J934" s="50">
        <f>ROUND(F934*G934,2)</f>
        <v>0</v>
      </c>
      <c r="K934" s="51" t="s">
        <v>116</v>
      </c>
      <c r="Z934" s="50">
        <f>ROUND(IF(AQ934="5",BJ934,0),2)</f>
        <v>0</v>
      </c>
      <c r="AB934" s="50">
        <f>ROUND(IF(AQ934="1",BH934,0),2)</f>
        <v>0</v>
      </c>
      <c r="AC934" s="50">
        <f>ROUND(IF(AQ934="1",BI934,0),2)</f>
        <v>0</v>
      </c>
      <c r="AD934" s="50">
        <f>ROUND(IF(AQ934="7",BH934,0),2)</f>
        <v>0</v>
      </c>
      <c r="AE934" s="50">
        <f>ROUND(IF(AQ934="7",BI934,0),2)</f>
        <v>0</v>
      </c>
      <c r="AF934" s="50">
        <f>ROUND(IF(AQ934="2",BH934,0),2)</f>
        <v>0</v>
      </c>
      <c r="AG934" s="50">
        <f>ROUND(IF(AQ934="2",BI934,0),2)</f>
        <v>0</v>
      </c>
      <c r="AH934" s="50">
        <f>ROUND(IF(AQ934="0",BJ934,0),2)</f>
        <v>0</v>
      </c>
      <c r="AI934" s="32" t="s">
        <v>4</v>
      </c>
      <c r="AJ934" s="50">
        <f>IF(AN934=0,J934,0)</f>
        <v>0</v>
      </c>
      <c r="AK934" s="50">
        <f>IF(AN934=12,J934,0)</f>
        <v>0</v>
      </c>
      <c r="AL934" s="50">
        <f>IF(AN934=21,J934,0)</f>
        <v>0</v>
      </c>
      <c r="AN934" s="50">
        <v>21</v>
      </c>
      <c r="AO934" s="50">
        <f>G934*1</f>
        <v>0</v>
      </c>
      <c r="AP934" s="50">
        <f>G934*(1-1)</f>
        <v>0</v>
      </c>
      <c r="AQ934" s="52" t="s">
        <v>112</v>
      </c>
      <c r="AV934" s="50">
        <f>ROUND(AW934+AX934,2)</f>
        <v>0</v>
      </c>
      <c r="AW934" s="50">
        <f>ROUND(F934*AO934,2)</f>
        <v>0</v>
      </c>
      <c r="AX934" s="50">
        <f>ROUND(F934*AP934,2)</f>
        <v>0</v>
      </c>
      <c r="AY934" s="52" t="s">
        <v>1471</v>
      </c>
      <c r="AZ934" s="52" t="s">
        <v>1472</v>
      </c>
      <c r="BA934" s="32" t="s">
        <v>119</v>
      </c>
      <c r="BC934" s="50">
        <f>AW934+AX934</f>
        <v>0</v>
      </c>
      <c r="BD934" s="50">
        <f>G934/(100-BE934)*100</f>
        <v>0</v>
      </c>
      <c r="BE934" s="50">
        <v>0</v>
      </c>
      <c r="BF934" s="50">
        <f>934</f>
        <v>934</v>
      </c>
      <c r="BH934" s="50">
        <f>F934*AO934</f>
        <v>0</v>
      </c>
      <c r="BI934" s="50">
        <f>F934*AP934</f>
        <v>0</v>
      </c>
      <c r="BJ934" s="50">
        <f>F934*G934</f>
        <v>0</v>
      </c>
      <c r="BK934" s="50"/>
      <c r="BL934" s="50">
        <v>87</v>
      </c>
      <c r="BW934" s="50">
        <v>21</v>
      </c>
      <c r="BX934" s="3" t="s">
        <v>1488</v>
      </c>
    </row>
    <row r="935" spans="1:76" ht="14.4" x14ac:dyDescent="0.3">
      <c r="A935" s="53"/>
      <c r="C935" s="54" t="s">
        <v>313</v>
      </c>
      <c r="D935" s="54" t="s">
        <v>4</v>
      </c>
      <c r="F935" s="55">
        <v>38</v>
      </c>
      <c r="K935" s="56"/>
    </row>
    <row r="936" spans="1:76" ht="14.4" x14ac:dyDescent="0.3">
      <c r="A936" s="46" t="s">
        <v>4</v>
      </c>
      <c r="B936" s="47" t="s">
        <v>553</v>
      </c>
      <c r="C936" s="148" t="s">
        <v>1489</v>
      </c>
      <c r="D936" s="149"/>
      <c r="E936" s="48" t="s">
        <v>74</v>
      </c>
      <c r="F936" s="48" t="s">
        <v>74</v>
      </c>
      <c r="G936" s="48" t="s">
        <v>74</v>
      </c>
      <c r="H936" s="26">
        <f>SUM(H937:H961)</f>
        <v>0</v>
      </c>
      <c r="I936" s="26">
        <f>SUM(I937:I961)</f>
        <v>0</v>
      </c>
      <c r="J936" s="26">
        <f>SUM(J937:J961)</f>
        <v>0</v>
      </c>
      <c r="K936" s="49" t="s">
        <v>4</v>
      </c>
      <c r="AI936" s="32" t="s">
        <v>4</v>
      </c>
      <c r="AS936" s="26">
        <f>SUM(AJ937:AJ961)</f>
        <v>0</v>
      </c>
      <c r="AT936" s="26">
        <f>SUM(AK937:AK961)</f>
        <v>0</v>
      </c>
      <c r="AU936" s="26">
        <f>SUM(AL937:AL961)</f>
        <v>0</v>
      </c>
    </row>
    <row r="937" spans="1:76" ht="14.4" x14ac:dyDescent="0.3">
      <c r="A937" s="1" t="s">
        <v>1490</v>
      </c>
      <c r="B937" s="2" t="s">
        <v>1491</v>
      </c>
      <c r="C937" s="75" t="s">
        <v>1492</v>
      </c>
      <c r="D937" s="70"/>
      <c r="E937" s="2" t="s">
        <v>278</v>
      </c>
      <c r="F937" s="50">
        <v>2</v>
      </c>
      <c r="G937" s="50">
        <v>0</v>
      </c>
      <c r="H937" s="50">
        <f>ROUND(F937*AO937,2)</f>
        <v>0</v>
      </c>
      <c r="I937" s="50">
        <f>ROUND(F937*AP937,2)</f>
        <v>0</v>
      </c>
      <c r="J937" s="50">
        <f>ROUND(F937*G937,2)</f>
        <v>0</v>
      </c>
      <c r="K937" s="51" t="s">
        <v>116</v>
      </c>
      <c r="Z937" s="50">
        <f>ROUND(IF(AQ937="5",BJ937,0),2)</f>
        <v>0</v>
      </c>
      <c r="AB937" s="50">
        <f>ROUND(IF(AQ937="1",BH937,0),2)</f>
        <v>0</v>
      </c>
      <c r="AC937" s="50">
        <f>ROUND(IF(AQ937="1",BI937,0),2)</f>
        <v>0</v>
      </c>
      <c r="AD937" s="50">
        <f>ROUND(IF(AQ937="7",BH937,0),2)</f>
        <v>0</v>
      </c>
      <c r="AE937" s="50">
        <f>ROUND(IF(AQ937="7",BI937,0),2)</f>
        <v>0</v>
      </c>
      <c r="AF937" s="50">
        <f>ROUND(IF(AQ937="2",BH937,0),2)</f>
        <v>0</v>
      </c>
      <c r="AG937" s="50">
        <f>ROUND(IF(AQ937="2",BI937,0),2)</f>
        <v>0</v>
      </c>
      <c r="AH937" s="50">
        <f>ROUND(IF(AQ937="0",BJ937,0),2)</f>
        <v>0</v>
      </c>
      <c r="AI937" s="32" t="s">
        <v>4</v>
      </c>
      <c r="AJ937" s="50">
        <f>IF(AN937=0,J937,0)</f>
        <v>0</v>
      </c>
      <c r="AK937" s="50">
        <f>IF(AN937=12,J937,0)</f>
        <v>0</v>
      </c>
      <c r="AL937" s="50">
        <f>IF(AN937=21,J937,0)</f>
        <v>0</v>
      </c>
      <c r="AN937" s="50">
        <v>21</v>
      </c>
      <c r="AO937" s="50">
        <f>G937*0</f>
        <v>0</v>
      </c>
      <c r="AP937" s="50">
        <f>G937*(1-0)</f>
        <v>0</v>
      </c>
      <c r="AQ937" s="52" t="s">
        <v>112</v>
      </c>
      <c r="AV937" s="50">
        <f>ROUND(AW937+AX937,2)</f>
        <v>0</v>
      </c>
      <c r="AW937" s="50">
        <f>ROUND(F937*AO937,2)</f>
        <v>0</v>
      </c>
      <c r="AX937" s="50">
        <f>ROUND(F937*AP937,2)</f>
        <v>0</v>
      </c>
      <c r="AY937" s="52" t="s">
        <v>1493</v>
      </c>
      <c r="AZ937" s="52" t="s">
        <v>1472</v>
      </c>
      <c r="BA937" s="32" t="s">
        <v>119</v>
      </c>
      <c r="BC937" s="50">
        <f>AW937+AX937</f>
        <v>0</v>
      </c>
      <c r="BD937" s="50">
        <f>G937/(100-BE937)*100</f>
        <v>0</v>
      </c>
      <c r="BE937" s="50">
        <v>0</v>
      </c>
      <c r="BF937" s="50">
        <f>937</f>
        <v>937</v>
      </c>
      <c r="BH937" s="50">
        <f>F937*AO937</f>
        <v>0</v>
      </c>
      <c r="BI937" s="50">
        <f>F937*AP937</f>
        <v>0</v>
      </c>
      <c r="BJ937" s="50">
        <f>F937*G937</f>
        <v>0</v>
      </c>
      <c r="BK937" s="50"/>
      <c r="BL937" s="50">
        <v>89</v>
      </c>
      <c r="BW937" s="50">
        <v>21</v>
      </c>
      <c r="BX937" s="3" t="s">
        <v>1492</v>
      </c>
    </row>
    <row r="938" spans="1:76" ht="14.4" x14ac:dyDescent="0.3">
      <c r="A938" s="53"/>
      <c r="C938" s="54" t="s">
        <v>112</v>
      </c>
      <c r="D938" s="54" t="s">
        <v>4</v>
      </c>
      <c r="F938" s="55">
        <v>1</v>
      </c>
      <c r="K938" s="56"/>
    </row>
    <row r="939" spans="1:76" ht="14.4" x14ac:dyDescent="0.3">
      <c r="A939" s="53"/>
      <c r="C939" s="54" t="s">
        <v>112</v>
      </c>
      <c r="D939" s="54" t="s">
        <v>4</v>
      </c>
      <c r="F939" s="55">
        <v>1</v>
      </c>
      <c r="K939" s="56"/>
    </row>
    <row r="940" spans="1:76" ht="14.4" x14ac:dyDescent="0.3">
      <c r="A940" s="1" t="s">
        <v>1494</v>
      </c>
      <c r="B940" s="2" t="s">
        <v>1495</v>
      </c>
      <c r="C940" s="75" t="s">
        <v>1496</v>
      </c>
      <c r="D940" s="70"/>
      <c r="E940" s="2" t="s">
        <v>278</v>
      </c>
      <c r="F940" s="50">
        <v>1</v>
      </c>
      <c r="G940" s="50">
        <v>0</v>
      </c>
      <c r="H940" s="50">
        <f>ROUND(F940*AO940,2)</f>
        <v>0</v>
      </c>
      <c r="I940" s="50">
        <f>ROUND(F940*AP940,2)</f>
        <v>0</v>
      </c>
      <c r="J940" s="50">
        <f>ROUND(F940*G940,2)</f>
        <v>0</v>
      </c>
      <c r="K940" s="51" t="s">
        <v>116</v>
      </c>
      <c r="Z940" s="50">
        <f>ROUND(IF(AQ940="5",BJ940,0),2)</f>
        <v>0</v>
      </c>
      <c r="AB940" s="50">
        <f>ROUND(IF(AQ940="1",BH940,0),2)</f>
        <v>0</v>
      </c>
      <c r="AC940" s="50">
        <f>ROUND(IF(AQ940="1",BI940,0),2)</f>
        <v>0</v>
      </c>
      <c r="AD940" s="50">
        <f>ROUND(IF(AQ940="7",BH940,0),2)</f>
        <v>0</v>
      </c>
      <c r="AE940" s="50">
        <f>ROUND(IF(AQ940="7",BI940,0),2)</f>
        <v>0</v>
      </c>
      <c r="AF940" s="50">
        <f>ROUND(IF(AQ940="2",BH940,0),2)</f>
        <v>0</v>
      </c>
      <c r="AG940" s="50">
        <f>ROUND(IF(AQ940="2",BI940,0),2)</f>
        <v>0</v>
      </c>
      <c r="AH940" s="50">
        <f>ROUND(IF(AQ940="0",BJ940,0),2)</f>
        <v>0</v>
      </c>
      <c r="AI940" s="32" t="s">
        <v>4</v>
      </c>
      <c r="AJ940" s="50">
        <f>IF(AN940=0,J940,0)</f>
        <v>0</v>
      </c>
      <c r="AK940" s="50">
        <f>IF(AN940=12,J940,0)</f>
        <v>0</v>
      </c>
      <c r="AL940" s="50">
        <f>IF(AN940=21,J940,0)</f>
        <v>0</v>
      </c>
      <c r="AN940" s="50">
        <v>21</v>
      </c>
      <c r="AO940" s="50">
        <f>G940*1</f>
        <v>0</v>
      </c>
      <c r="AP940" s="50">
        <f>G940*(1-1)</f>
        <v>0</v>
      </c>
      <c r="AQ940" s="52" t="s">
        <v>112</v>
      </c>
      <c r="AV940" s="50">
        <f>ROUND(AW940+AX940,2)</f>
        <v>0</v>
      </c>
      <c r="AW940" s="50">
        <f>ROUND(F940*AO940,2)</f>
        <v>0</v>
      </c>
      <c r="AX940" s="50">
        <f>ROUND(F940*AP940,2)</f>
        <v>0</v>
      </c>
      <c r="AY940" s="52" t="s">
        <v>1493</v>
      </c>
      <c r="AZ940" s="52" t="s">
        <v>1472</v>
      </c>
      <c r="BA940" s="32" t="s">
        <v>119</v>
      </c>
      <c r="BC940" s="50">
        <f>AW940+AX940</f>
        <v>0</v>
      </c>
      <c r="BD940" s="50">
        <f>G940/(100-BE940)*100</f>
        <v>0</v>
      </c>
      <c r="BE940" s="50">
        <v>0</v>
      </c>
      <c r="BF940" s="50">
        <f>940</f>
        <v>940</v>
      </c>
      <c r="BH940" s="50">
        <f>F940*AO940</f>
        <v>0</v>
      </c>
      <c r="BI940" s="50">
        <f>F940*AP940</f>
        <v>0</v>
      </c>
      <c r="BJ940" s="50">
        <f>F940*G940</f>
        <v>0</v>
      </c>
      <c r="BK940" s="50"/>
      <c r="BL940" s="50">
        <v>89</v>
      </c>
      <c r="BW940" s="50">
        <v>21</v>
      </c>
      <c r="BX940" s="3" t="s">
        <v>1496</v>
      </c>
    </row>
    <row r="941" spans="1:76" ht="14.4" x14ac:dyDescent="0.3">
      <c r="A941" s="53"/>
      <c r="C941" s="54" t="s">
        <v>112</v>
      </c>
      <c r="D941" s="54" t="s">
        <v>4</v>
      </c>
      <c r="F941" s="55">
        <v>1</v>
      </c>
      <c r="K941" s="56"/>
    </row>
    <row r="942" spans="1:76" ht="14.4" x14ac:dyDescent="0.3">
      <c r="A942" s="1" t="s">
        <v>1497</v>
      </c>
      <c r="B942" s="2" t="s">
        <v>1498</v>
      </c>
      <c r="C942" s="75" t="s">
        <v>1499</v>
      </c>
      <c r="D942" s="70"/>
      <c r="E942" s="2" t="s">
        <v>278</v>
      </c>
      <c r="F942" s="50">
        <v>1</v>
      </c>
      <c r="G942" s="50">
        <v>0</v>
      </c>
      <c r="H942" s="50">
        <f>ROUND(F942*AO942,2)</f>
        <v>0</v>
      </c>
      <c r="I942" s="50">
        <f>ROUND(F942*AP942,2)</f>
        <v>0</v>
      </c>
      <c r="J942" s="50">
        <f>ROUND(F942*G942,2)</f>
        <v>0</v>
      </c>
      <c r="K942" s="51" t="s">
        <v>116</v>
      </c>
      <c r="Z942" s="50">
        <f>ROUND(IF(AQ942="5",BJ942,0),2)</f>
        <v>0</v>
      </c>
      <c r="AB942" s="50">
        <f>ROUND(IF(AQ942="1",BH942,0),2)</f>
        <v>0</v>
      </c>
      <c r="AC942" s="50">
        <f>ROUND(IF(AQ942="1",BI942,0),2)</f>
        <v>0</v>
      </c>
      <c r="AD942" s="50">
        <f>ROUND(IF(AQ942="7",BH942,0),2)</f>
        <v>0</v>
      </c>
      <c r="AE942" s="50">
        <f>ROUND(IF(AQ942="7",BI942,0),2)</f>
        <v>0</v>
      </c>
      <c r="AF942" s="50">
        <f>ROUND(IF(AQ942="2",BH942,0),2)</f>
        <v>0</v>
      </c>
      <c r="AG942" s="50">
        <f>ROUND(IF(AQ942="2",BI942,0),2)</f>
        <v>0</v>
      </c>
      <c r="AH942" s="50">
        <f>ROUND(IF(AQ942="0",BJ942,0),2)</f>
        <v>0</v>
      </c>
      <c r="AI942" s="32" t="s">
        <v>4</v>
      </c>
      <c r="AJ942" s="50">
        <f>IF(AN942=0,J942,0)</f>
        <v>0</v>
      </c>
      <c r="AK942" s="50">
        <f>IF(AN942=12,J942,0)</f>
        <v>0</v>
      </c>
      <c r="AL942" s="50">
        <f>IF(AN942=21,J942,0)</f>
        <v>0</v>
      </c>
      <c r="AN942" s="50">
        <v>21</v>
      </c>
      <c r="AO942" s="50">
        <f>G942*1</f>
        <v>0</v>
      </c>
      <c r="AP942" s="50">
        <f>G942*(1-1)</f>
        <v>0</v>
      </c>
      <c r="AQ942" s="52" t="s">
        <v>112</v>
      </c>
      <c r="AV942" s="50">
        <f>ROUND(AW942+AX942,2)</f>
        <v>0</v>
      </c>
      <c r="AW942" s="50">
        <f>ROUND(F942*AO942,2)</f>
        <v>0</v>
      </c>
      <c r="AX942" s="50">
        <f>ROUND(F942*AP942,2)</f>
        <v>0</v>
      </c>
      <c r="AY942" s="52" t="s">
        <v>1493</v>
      </c>
      <c r="AZ942" s="52" t="s">
        <v>1472</v>
      </c>
      <c r="BA942" s="32" t="s">
        <v>119</v>
      </c>
      <c r="BC942" s="50">
        <f>AW942+AX942</f>
        <v>0</v>
      </c>
      <c r="BD942" s="50">
        <f>G942/(100-BE942)*100</f>
        <v>0</v>
      </c>
      <c r="BE942" s="50">
        <v>0</v>
      </c>
      <c r="BF942" s="50">
        <f>942</f>
        <v>942</v>
      </c>
      <c r="BH942" s="50">
        <f>F942*AO942</f>
        <v>0</v>
      </c>
      <c r="BI942" s="50">
        <f>F942*AP942</f>
        <v>0</v>
      </c>
      <c r="BJ942" s="50">
        <f>F942*G942</f>
        <v>0</v>
      </c>
      <c r="BK942" s="50"/>
      <c r="BL942" s="50">
        <v>89</v>
      </c>
      <c r="BW942" s="50">
        <v>21</v>
      </c>
      <c r="BX942" s="3" t="s">
        <v>1499</v>
      </c>
    </row>
    <row r="943" spans="1:76" ht="14.4" x14ac:dyDescent="0.3">
      <c r="A943" s="53"/>
      <c r="C943" s="54" t="s">
        <v>112</v>
      </c>
      <c r="D943" s="54" t="s">
        <v>4</v>
      </c>
      <c r="F943" s="55">
        <v>1</v>
      </c>
      <c r="K943" s="56"/>
    </row>
    <row r="944" spans="1:76" ht="14.4" x14ac:dyDescent="0.3">
      <c r="A944" s="1" t="s">
        <v>1500</v>
      </c>
      <c r="B944" s="2" t="s">
        <v>1501</v>
      </c>
      <c r="C944" s="75" t="s">
        <v>1502</v>
      </c>
      <c r="D944" s="70"/>
      <c r="E944" s="2" t="s">
        <v>278</v>
      </c>
      <c r="F944" s="50">
        <v>1</v>
      </c>
      <c r="G944" s="50">
        <v>0</v>
      </c>
      <c r="H944" s="50">
        <f>ROUND(F944*AO944,2)</f>
        <v>0</v>
      </c>
      <c r="I944" s="50">
        <f>ROUND(F944*AP944,2)</f>
        <v>0</v>
      </c>
      <c r="J944" s="50">
        <f>ROUND(F944*G944,2)</f>
        <v>0</v>
      </c>
      <c r="K944" s="51" t="s">
        <v>116</v>
      </c>
      <c r="Z944" s="50">
        <f>ROUND(IF(AQ944="5",BJ944,0),2)</f>
        <v>0</v>
      </c>
      <c r="AB944" s="50">
        <f>ROUND(IF(AQ944="1",BH944,0),2)</f>
        <v>0</v>
      </c>
      <c r="AC944" s="50">
        <f>ROUND(IF(AQ944="1",BI944,0),2)</f>
        <v>0</v>
      </c>
      <c r="AD944" s="50">
        <f>ROUND(IF(AQ944="7",BH944,0),2)</f>
        <v>0</v>
      </c>
      <c r="AE944" s="50">
        <f>ROUND(IF(AQ944="7",BI944,0),2)</f>
        <v>0</v>
      </c>
      <c r="AF944" s="50">
        <f>ROUND(IF(AQ944="2",BH944,0),2)</f>
        <v>0</v>
      </c>
      <c r="AG944" s="50">
        <f>ROUND(IF(AQ944="2",BI944,0),2)</f>
        <v>0</v>
      </c>
      <c r="AH944" s="50">
        <f>ROUND(IF(AQ944="0",BJ944,0),2)</f>
        <v>0</v>
      </c>
      <c r="AI944" s="32" t="s">
        <v>4</v>
      </c>
      <c r="AJ944" s="50">
        <f>IF(AN944=0,J944,0)</f>
        <v>0</v>
      </c>
      <c r="AK944" s="50">
        <f>IF(AN944=12,J944,0)</f>
        <v>0</v>
      </c>
      <c r="AL944" s="50">
        <f>IF(AN944=21,J944,0)</f>
        <v>0</v>
      </c>
      <c r="AN944" s="50">
        <v>21</v>
      </c>
      <c r="AO944" s="50">
        <f>G944*1</f>
        <v>0</v>
      </c>
      <c r="AP944" s="50">
        <f>G944*(1-1)</f>
        <v>0</v>
      </c>
      <c r="AQ944" s="52" t="s">
        <v>112</v>
      </c>
      <c r="AV944" s="50">
        <f>ROUND(AW944+AX944,2)</f>
        <v>0</v>
      </c>
      <c r="AW944" s="50">
        <f>ROUND(F944*AO944,2)</f>
        <v>0</v>
      </c>
      <c r="AX944" s="50">
        <f>ROUND(F944*AP944,2)</f>
        <v>0</v>
      </c>
      <c r="AY944" s="52" t="s">
        <v>1493</v>
      </c>
      <c r="AZ944" s="52" t="s">
        <v>1472</v>
      </c>
      <c r="BA944" s="32" t="s">
        <v>119</v>
      </c>
      <c r="BC944" s="50">
        <f>AW944+AX944</f>
        <v>0</v>
      </c>
      <c r="BD944" s="50">
        <f>G944/(100-BE944)*100</f>
        <v>0</v>
      </c>
      <c r="BE944" s="50">
        <v>0</v>
      </c>
      <c r="BF944" s="50">
        <f>944</f>
        <v>944</v>
      </c>
      <c r="BH944" s="50">
        <f>F944*AO944</f>
        <v>0</v>
      </c>
      <c r="BI944" s="50">
        <f>F944*AP944</f>
        <v>0</v>
      </c>
      <c r="BJ944" s="50">
        <f>F944*G944</f>
        <v>0</v>
      </c>
      <c r="BK944" s="50"/>
      <c r="BL944" s="50">
        <v>89</v>
      </c>
      <c r="BW944" s="50">
        <v>21</v>
      </c>
      <c r="BX944" s="3" t="s">
        <v>1502</v>
      </c>
    </row>
    <row r="945" spans="1:76" ht="14.4" x14ac:dyDescent="0.3">
      <c r="A945" s="53"/>
      <c r="C945" s="54" t="s">
        <v>112</v>
      </c>
      <c r="D945" s="54" t="s">
        <v>4</v>
      </c>
      <c r="F945" s="55">
        <v>1</v>
      </c>
      <c r="K945" s="56"/>
    </row>
    <row r="946" spans="1:76" ht="14.4" x14ac:dyDescent="0.3">
      <c r="A946" s="1" t="s">
        <v>1503</v>
      </c>
      <c r="B946" s="2" t="s">
        <v>1504</v>
      </c>
      <c r="C946" s="75" t="s">
        <v>1505</v>
      </c>
      <c r="D946" s="70"/>
      <c r="E946" s="2" t="s">
        <v>278</v>
      </c>
      <c r="F946" s="50">
        <v>1</v>
      </c>
      <c r="G946" s="50">
        <v>0</v>
      </c>
      <c r="H946" s="50">
        <f>ROUND(F946*AO946,2)</f>
        <v>0</v>
      </c>
      <c r="I946" s="50">
        <f>ROUND(F946*AP946,2)</f>
        <v>0</v>
      </c>
      <c r="J946" s="50">
        <f>ROUND(F946*G946,2)</f>
        <v>0</v>
      </c>
      <c r="K946" s="51" t="s">
        <v>116</v>
      </c>
      <c r="Z946" s="50">
        <f>ROUND(IF(AQ946="5",BJ946,0),2)</f>
        <v>0</v>
      </c>
      <c r="AB946" s="50">
        <f>ROUND(IF(AQ946="1",BH946,0),2)</f>
        <v>0</v>
      </c>
      <c r="AC946" s="50">
        <f>ROUND(IF(AQ946="1",BI946,0),2)</f>
        <v>0</v>
      </c>
      <c r="AD946" s="50">
        <f>ROUND(IF(AQ946="7",BH946,0),2)</f>
        <v>0</v>
      </c>
      <c r="AE946" s="50">
        <f>ROUND(IF(AQ946="7",BI946,0),2)</f>
        <v>0</v>
      </c>
      <c r="AF946" s="50">
        <f>ROUND(IF(AQ946="2",BH946,0),2)</f>
        <v>0</v>
      </c>
      <c r="AG946" s="50">
        <f>ROUND(IF(AQ946="2",BI946,0),2)</f>
        <v>0</v>
      </c>
      <c r="AH946" s="50">
        <f>ROUND(IF(AQ946="0",BJ946,0),2)</f>
        <v>0</v>
      </c>
      <c r="AI946" s="32" t="s">
        <v>4</v>
      </c>
      <c r="AJ946" s="50">
        <f>IF(AN946=0,J946,0)</f>
        <v>0</v>
      </c>
      <c r="AK946" s="50">
        <f>IF(AN946=12,J946,0)</f>
        <v>0</v>
      </c>
      <c r="AL946" s="50">
        <f>IF(AN946=21,J946,0)</f>
        <v>0</v>
      </c>
      <c r="AN946" s="50">
        <v>21</v>
      </c>
      <c r="AO946" s="50">
        <f>G946*1</f>
        <v>0</v>
      </c>
      <c r="AP946" s="50">
        <f>G946*(1-1)</f>
        <v>0</v>
      </c>
      <c r="AQ946" s="52" t="s">
        <v>112</v>
      </c>
      <c r="AV946" s="50">
        <f>ROUND(AW946+AX946,2)</f>
        <v>0</v>
      </c>
      <c r="AW946" s="50">
        <f>ROUND(F946*AO946,2)</f>
        <v>0</v>
      </c>
      <c r="AX946" s="50">
        <f>ROUND(F946*AP946,2)</f>
        <v>0</v>
      </c>
      <c r="AY946" s="52" t="s">
        <v>1493</v>
      </c>
      <c r="AZ946" s="52" t="s">
        <v>1472</v>
      </c>
      <c r="BA946" s="32" t="s">
        <v>119</v>
      </c>
      <c r="BC946" s="50">
        <f>AW946+AX946</f>
        <v>0</v>
      </c>
      <c r="BD946" s="50">
        <f>G946/(100-BE946)*100</f>
        <v>0</v>
      </c>
      <c r="BE946" s="50">
        <v>0</v>
      </c>
      <c r="BF946" s="50">
        <f>946</f>
        <v>946</v>
      </c>
      <c r="BH946" s="50">
        <f>F946*AO946</f>
        <v>0</v>
      </c>
      <c r="BI946" s="50">
        <f>F946*AP946</f>
        <v>0</v>
      </c>
      <c r="BJ946" s="50">
        <f>F946*G946</f>
        <v>0</v>
      </c>
      <c r="BK946" s="50"/>
      <c r="BL946" s="50">
        <v>89</v>
      </c>
      <c r="BW946" s="50">
        <v>21</v>
      </c>
      <c r="BX946" s="3" t="s">
        <v>1505</v>
      </c>
    </row>
    <row r="947" spans="1:76" ht="14.4" x14ac:dyDescent="0.3">
      <c r="A947" s="53"/>
      <c r="C947" s="54" t="s">
        <v>112</v>
      </c>
      <c r="D947" s="54" t="s">
        <v>4</v>
      </c>
      <c r="F947" s="55">
        <v>1</v>
      </c>
      <c r="K947" s="56"/>
    </row>
    <row r="948" spans="1:76" ht="14.4" x14ac:dyDescent="0.3">
      <c r="A948" s="1" t="s">
        <v>1506</v>
      </c>
      <c r="B948" s="2" t="s">
        <v>1507</v>
      </c>
      <c r="C948" s="75" t="s">
        <v>1508</v>
      </c>
      <c r="D948" s="70"/>
      <c r="E948" s="2" t="s">
        <v>278</v>
      </c>
      <c r="F948" s="50">
        <v>1</v>
      </c>
      <c r="G948" s="50">
        <v>0</v>
      </c>
      <c r="H948" s="50">
        <f>ROUND(F948*AO948,2)</f>
        <v>0</v>
      </c>
      <c r="I948" s="50">
        <f>ROUND(F948*AP948,2)</f>
        <v>0</v>
      </c>
      <c r="J948" s="50">
        <f>ROUND(F948*G948,2)</f>
        <v>0</v>
      </c>
      <c r="K948" s="51" t="s">
        <v>116</v>
      </c>
      <c r="Z948" s="50">
        <f>ROUND(IF(AQ948="5",BJ948,0),2)</f>
        <v>0</v>
      </c>
      <c r="AB948" s="50">
        <f>ROUND(IF(AQ948="1",BH948,0),2)</f>
        <v>0</v>
      </c>
      <c r="AC948" s="50">
        <f>ROUND(IF(AQ948="1",BI948,0),2)</f>
        <v>0</v>
      </c>
      <c r="AD948" s="50">
        <f>ROUND(IF(AQ948="7",BH948,0),2)</f>
        <v>0</v>
      </c>
      <c r="AE948" s="50">
        <f>ROUND(IF(AQ948="7",BI948,0),2)</f>
        <v>0</v>
      </c>
      <c r="AF948" s="50">
        <f>ROUND(IF(AQ948="2",BH948,0),2)</f>
        <v>0</v>
      </c>
      <c r="AG948" s="50">
        <f>ROUND(IF(AQ948="2",BI948,0),2)</f>
        <v>0</v>
      </c>
      <c r="AH948" s="50">
        <f>ROUND(IF(AQ948="0",BJ948,0),2)</f>
        <v>0</v>
      </c>
      <c r="AI948" s="32" t="s">
        <v>4</v>
      </c>
      <c r="AJ948" s="50">
        <f>IF(AN948=0,J948,0)</f>
        <v>0</v>
      </c>
      <c r="AK948" s="50">
        <f>IF(AN948=12,J948,0)</f>
        <v>0</v>
      </c>
      <c r="AL948" s="50">
        <f>IF(AN948=21,J948,0)</f>
        <v>0</v>
      </c>
      <c r="AN948" s="50">
        <v>21</v>
      </c>
      <c r="AO948" s="50">
        <f>G948*0</f>
        <v>0</v>
      </c>
      <c r="AP948" s="50">
        <f>G948*(1-0)</f>
        <v>0</v>
      </c>
      <c r="AQ948" s="52" t="s">
        <v>112</v>
      </c>
      <c r="AV948" s="50">
        <f>ROUND(AW948+AX948,2)</f>
        <v>0</v>
      </c>
      <c r="AW948" s="50">
        <f>ROUND(F948*AO948,2)</f>
        <v>0</v>
      </c>
      <c r="AX948" s="50">
        <f>ROUND(F948*AP948,2)</f>
        <v>0</v>
      </c>
      <c r="AY948" s="52" t="s">
        <v>1493</v>
      </c>
      <c r="AZ948" s="52" t="s">
        <v>1472</v>
      </c>
      <c r="BA948" s="32" t="s">
        <v>119</v>
      </c>
      <c r="BC948" s="50">
        <f>AW948+AX948</f>
        <v>0</v>
      </c>
      <c r="BD948" s="50">
        <f>G948/(100-BE948)*100</f>
        <v>0</v>
      </c>
      <c r="BE948" s="50">
        <v>0</v>
      </c>
      <c r="BF948" s="50">
        <f>948</f>
        <v>948</v>
      </c>
      <c r="BH948" s="50">
        <f>F948*AO948</f>
        <v>0</v>
      </c>
      <c r="BI948" s="50">
        <f>F948*AP948</f>
        <v>0</v>
      </c>
      <c r="BJ948" s="50">
        <f>F948*G948</f>
        <v>0</v>
      </c>
      <c r="BK948" s="50"/>
      <c r="BL948" s="50">
        <v>89</v>
      </c>
      <c r="BW948" s="50">
        <v>21</v>
      </c>
      <c r="BX948" s="3" t="s">
        <v>1508</v>
      </c>
    </row>
    <row r="949" spans="1:76" ht="14.4" x14ac:dyDescent="0.3">
      <c r="A949" s="53"/>
      <c r="C949" s="54" t="s">
        <v>112</v>
      </c>
      <c r="D949" s="54" t="s">
        <v>4</v>
      </c>
      <c r="F949" s="55">
        <v>1</v>
      </c>
      <c r="K949" s="56"/>
    </row>
    <row r="950" spans="1:76" ht="14.4" x14ac:dyDescent="0.3">
      <c r="A950" s="1" t="s">
        <v>1509</v>
      </c>
      <c r="B950" s="2" t="s">
        <v>1510</v>
      </c>
      <c r="C950" s="75" t="s">
        <v>1511</v>
      </c>
      <c r="D950" s="70"/>
      <c r="E950" s="2" t="s">
        <v>278</v>
      </c>
      <c r="F950" s="50">
        <v>1</v>
      </c>
      <c r="G950" s="50">
        <v>0</v>
      </c>
      <c r="H950" s="50">
        <f>ROUND(F950*AO950,2)</f>
        <v>0</v>
      </c>
      <c r="I950" s="50">
        <f>ROUND(F950*AP950,2)</f>
        <v>0</v>
      </c>
      <c r="J950" s="50">
        <f>ROUND(F950*G950,2)</f>
        <v>0</v>
      </c>
      <c r="K950" s="51" t="s">
        <v>116</v>
      </c>
      <c r="Z950" s="50">
        <f>ROUND(IF(AQ950="5",BJ950,0),2)</f>
        <v>0</v>
      </c>
      <c r="AB950" s="50">
        <f>ROUND(IF(AQ950="1",BH950,0),2)</f>
        <v>0</v>
      </c>
      <c r="AC950" s="50">
        <f>ROUND(IF(AQ950="1",BI950,0),2)</f>
        <v>0</v>
      </c>
      <c r="AD950" s="50">
        <f>ROUND(IF(AQ950="7",BH950,0),2)</f>
        <v>0</v>
      </c>
      <c r="AE950" s="50">
        <f>ROUND(IF(AQ950="7",BI950,0),2)</f>
        <v>0</v>
      </c>
      <c r="AF950" s="50">
        <f>ROUND(IF(AQ950="2",BH950,0),2)</f>
        <v>0</v>
      </c>
      <c r="AG950" s="50">
        <f>ROUND(IF(AQ950="2",BI950,0),2)</f>
        <v>0</v>
      </c>
      <c r="AH950" s="50">
        <f>ROUND(IF(AQ950="0",BJ950,0),2)</f>
        <v>0</v>
      </c>
      <c r="AI950" s="32" t="s">
        <v>4</v>
      </c>
      <c r="AJ950" s="50">
        <f>IF(AN950=0,J950,0)</f>
        <v>0</v>
      </c>
      <c r="AK950" s="50">
        <f>IF(AN950=12,J950,0)</f>
        <v>0</v>
      </c>
      <c r="AL950" s="50">
        <f>IF(AN950=21,J950,0)</f>
        <v>0</v>
      </c>
      <c r="AN950" s="50">
        <v>21</v>
      </c>
      <c r="AO950" s="50">
        <f>G950*1</f>
        <v>0</v>
      </c>
      <c r="AP950" s="50">
        <f>G950*(1-1)</f>
        <v>0</v>
      </c>
      <c r="AQ950" s="52" t="s">
        <v>112</v>
      </c>
      <c r="AV950" s="50">
        <f>ROUND(AW950+AX950,2)</f>
        <v>0</v>
      </c>
      <c r="AW950" s="50">
        <f>ROUND(F950*AO950,2)</f>
        <v>0</v>
      </c>
      <c r="AX950" s="50">
        <f>ROUND(F950*AP950,2)</f>
        <v>0</v>
      </c>
      <c r="AY950" s="52" t="s">
        <v>1493</v>
      </c>
      <c r="AZ950" s="52" t="s">
        <v>1472</v>
      </c>
      <c r="BA950" s="32" t="s">
        <v>119</v>
      </c>
      <c r="BC950" s="50">
        <f>AW950+AX950</f>
        <v>0</v>
      </c>
      <c r="BD950" s="50">
        <f>G950/(100-BE950)*100</f>
        <v>0</v>
      </c>
      <c r="BE950" s="50">
        <v>0</v>
      </c>
      <c r="BF950" s="50">
        <f>950</f>
        <v>950</v>
      </c>
      <c r="BH950" s="50">
        <f>F950*AO950</f>
        <v>0</v>
      </c>
      <c r="BI950" s="50">
        <f>F950*AP950</f>
        <v>0</v>
      </c>
      <c r="BJ950" s="50">
        <f>F950*G950</f>
        <v>0</v>
      </c>
      <c r="BK950" s="50"/>
      <c r="BL950" s="50">
        <v>89</v>
      </c>
      <c r="BW950" s="50">
        <v>21</v>
      </c>
      <c r="BX950" s="3" t="s">
        <v>1511</v>
      </c>
    </row>
    <row r="951" spans="1:76" ht="14.4" x14ac:dyDescent="0.3">
      <c r="A951" s="53"/>
      <c r="C951" s="54" t="s">
        <v>112</v>
      </c>
      <c r="D951" s="54" t="s">
        <v>4</v>
      </c>
      <c r="F951" s="55">
        <v>1</v>
      </c>
      <c r="K951" s="56"/>
    </row>
    <row r="952" spans="1:76" ht="14.4" x14ac:dyDescent="0.3">
      <c r="A952" s="1" t="s">
        <v>1512</v>
      </c>
      <c r="B952" s="2" t="s">
        <v>1513</v>
      </c>
      <c r="C952" s="75" t="s">
        <v>1514</v>
      </c>
      <c r="D952" s="70"/>
      <c r="E952" s="2" t="s">
        <v>278</v>
      </c>
      <c r="F952" s="50">
        <v>1</v>
      </c>
      <c r="G952" s="50">
        <v>0</v>
      </c>
      <c r="H952" s="50">
        <f>ROUND(F952*AO952,2)</f>
        <v>0</v>
      </c>
      <c r="I952" s="50">
        <f>ROUND(F952*AP952,2)</f>
        <v>0</v>
      </c>
      <c r="J952" s="50">
        <f>ROUND(F952*G952,2)</f>
        <v>0</v>
      </c>
      <c r="K952" s="51" t="s">
        <v>116</v>
      </c>
      <c r="Z952" s="50">
        <f>ROUND(IF(AQ952="5",BJ952,0),2)</f>
        <v>0</v>
      </c>
      <c r="AB952" s="50">
        <f>ROUND(IF(AQ952="1",BH952,0),2)</f>
        <v>0</v>
      </c>
      <c r="AC952" s="50">
        <f>ROUND(IF(AQ952="1",BI952,0),2)</f>
        <v>0</v>
      </c>
      <c r="AD952" s="50">
        <f>ROUND(IF(AQ952="7",BH952,0),2)</f>
        <v>0</v>
      </c>
      <c r="AE952" s="50">
        <f>ROUND(IF(AQ952="7",BI952,0),2)</f>
        <v>0</v>
      </c>
      <c r="AF952" s="50">
        <f>ROUND(IF(AQ952="2",BH952,0),2)</f>
        <v>0</v>
      </c>
      <c r="AG952" s="50">
        <f>ROUND(IF(AQ952="2",BI952,0),2)</f>
        <v>0</v>
      </c>
      <c r="AH952" s="50">
        <f>ROUND(IF(AQ952="0",BJ952,0),2)</f>
        <v>0</v>
      </c>
      <c r="AI952" s="32" t="s">
        <v>4</v>
      </c>
      <c r="AJ952" s="50">
        <f>IF(AN952=0,J952,0)</f>
        <v>0</v>
      </c>
      <c r="AK952" s="50">
        <f>IF(AN952=12,J952,0)</f>
        <v>0</v>
      </c>
      <c r="AL952" s="50">
        <f>IF(AN952=21,J952,0)</f>
        <v>0</v>
      </c>
      <c r="AN952" s="50">
        <v>21</v>
      </c>
      <c r="AO952" s="50">
        <f>G952*1</f>
        <v>0</v>
      </c>
      <c r="AP952" s="50">
        <f>G952*(1-1)</f>
        <v>0</v>
      </c>
      <c r="AQ952" s="52" t="s">
        <v>112</v>
      </c>
      <c r="AV952" s="50">
        <f>ROUND(AW952+AX952,2)</f>
        <v>0</v>
      </c>
      <c r="AW952" s="50">
        <f>ROUND(F952*AO952,2)</f>
        <v>0</v>
      </c>
      <c r="AX952" s="50">
        <f>ROUND(F952*AP952,2)</f>
        <v>0</v>
      </c>
      <c r="AY952" s="52" t="s">
        <v>1493</v>
      </c>
      <c r="AZ952" s="52" t="s">
        <v>1472</v>
      </c>
      <c r="BA952" s="32" t="s">
        <v>119</v>
      </c>
      <c r="BC952" s="50">
        <f>AW952+AX952</f>
        <v>0</v>
      </c>
      <c r="BD952" s="50">
        <f>G952/(100-BE952)*100</f>
        <v>0</v>
      </c>
      <c r="BE952" s="50">
        <v>0</v>
      </c>
      <c r="BF952" s="50">
        <f>952</f>
        <v>952</v>
      </c>
      <c r="BH952" s="50">
        <f>F952*AO952</f>
        <v>0</v>
      </c>
      <c r="BI952" s="50">
        <f>F952*AP952</f>
        <v>0</v>
      </c>
      <c r="BJ952" s="50">
        <f>F952*G952</f>
        <v>0</v>
      </c>
      <c r="BK952" s="50"/>
      <c r="BL952" s="50">
        <v>89</v>
      </c>
      <c r="BW952" s="50">
        <v>21</v>
      </c>
      <c r="BX952" s="3" t="s">
        <v>1514</v>
      </c>
    </row>
    <row r="953" spans="1:76" ht="14.4" x14ac:dyDescent="0.3">
      <c r="A953" s="53"/>
      <c r="C953" s="54" t="s">
        <v>112</v>
      </c>
      <c r="D953" s="54" t="s">
        <v>4</v>
      </c>
      <c r="F953" s="55">
        <v>1</v>
      </c>
      <c r="K953" s="56"/>
    </row>
    <row r="954" spans="1:76" ht="14.4" x14ac:dyDescent="0.3">
      <c r="A954" s="1" t="s">
        <v>1515</v>
      </c>
      <c r="B954" s="2" t="s">
        <v>1516</v>
      </c>
      <c r="C954" s="75" t="s">
        <v>1517</v>
      </c>
      <c r="D954" s="70"/>
      <c r="E954" s="2" t="s">
        <v>278</v>
      </c>
      <c r="F954" s="50">
        <v>1</v>
      </c>
      <c r="G954" s="50">
        <v>0</v>
      </c>
      <c r="H954" s="50">
        <f>ROUND(F954*AO954,2)</f>
        <v>0</v>
      </c>
      <c r="I954" s="50">
        <f>ROUND(F954*AP954,2)</f>
        <v>0</v>
      </c>
      <c r="J954" s="50">
        <f>ROUND(F954*G954,2)</f>
        <v>0</v>
      </c>
      <c r="K954" s="51" t="s">
        <v>116</v>
      </c>
      <c r="Z954" s="50">
        <f>ROUND(IF(AQ954="5",BJ954,0),2)</f>
        <v>0</v>
      </c>
      <c r="AB954" s="50">
        <f>ROUND(IF(AQ954="1",BH954,0),2)</f>
        <v>0</v>
      </c>
      <c r="AC954" s="50">
        <f>ROUND(IF(AQ954="1",BI954,0),2)</f>
        <v>0</v>
      </c>
      <c r="AD954" s="50">
        <f>ROUND(IF(AQ954="7",BH954,0),2)</f>
        <v>0</v>
      </c>
      <c r="AE954" s="50">
        <f>ROUND(IF(AQ954="7",BI954,0),2)</f>
        <v>0</v>
      </c>
      <c r="AF954" s="50">
        <f>ROUND(IF(AQ954="2",BH954,0),2)</f>
        <v>0</v>
      </c>
      <c r="AG954" s="50">
        <f>ROUND(IF(AQ954="2",BI954,0),2)</f>
        <v>0</v>
      </c>
      <c r="AH954" s="50">
        <f>ROUND(IF(AQ954="0",BJ954,0),2)</f>
        <v>0</v>
      </c>
      <c r="AI954" s="32" t="s">
        <v>4</v>
      </c>
      <c r="AJ954" s="50">
        <f>IF(AN954=0,J954,0)</f>
        <v>0</v>
      </c>
      <c r="AK954" s="50">
        <f>IF(AN954=12,J954,0)</f>
        <v>0</v>
      </c>
      <c r="AL954" s="50">
        <f>IF(AN954=21,J954,0)</f>
        <v>0</v>
      </c>
      <c r="AN954" s="50">
        <v>21</v>
      </c>
      <c r="AO954" s="50">
        <f>G954*1</f>
        <v>0</v>
      </c>
      <c r="AP954" s="50">
        <f>G954*(1-1)</f>
        <v>0</v>
      </c>
      <c r="AQ954" s="52" t="s">
        <v>112</v>
      </c>
      <c r="AV954" s="50">
        <f>ROUND(AW954+AX954,2)</f>
        <v>0</v>
      </c>
      <c r="AW954" s="50">
        <f>ROUND(F954*AO954,2)</f>
        <v>0</v>
      </c>
      <c r="AX954" s="50">
        <f>ROUND(F954*AP954,2)</f>
        <v>0</v>
      </c>
      <c r="AY954" s="52" t="s">
        <v>1493</v>
      </c>
      <c r="AZ954" s="52" t="s">
        <v>1472</v>
      </c>
      <c r="BA954" s="32" t="s">
        <v>119</v>
      </c>
      <c r="BC954" s="50">
        <f>AW954+AX954</f>
        <v>0</v>
      </c>
      <c r="BD954" s="50">
        <f>G954/(100-BE954)*100</f>
        <v>0</v>
      </c>
      <c r="BE954" s="50">
        <v>0</v>
      </c>
      <c r="BF954" s="50">
        <f>954</f>
        <v>954</v>
      </c>
      <c r="BH954" s="50">
        <f>F954*AO954</f>
        <v>0</v>
      </c>
      <c r="BI954" s="50">
        <f>F954*AP954</f>
        <v>0</v>
      </c>
      <c r="BJ954" s="50">
        <f>F954*G954</f>
        <v>0</v>
      </c>
      <c r="BK954" s="50"/>
      <c r="BL954" s="50">
        <v>89</v>
      </c>
      <c r="BW954" s="50">
        <v>21</v>
      </c>
      <c r="BX954" s="3" t="s">
        <v>1517</v>
      </c>
    </row>
    <row r="955" spans="1:76" ht="14.4" x14ac:dyDescent="0.3">
      <c r="A955" s="53"/>
      <c r="C955" s="54" t="s">
        <v>112</v>
      </c>
      <c r="D955" s="54" t="s">
        <v>4</v>
      </c>
      <c r="F955" s="55">
        <v>1</v>
      </c>
      <c r="K955" s="56"/>
    </row>
    <row r="956" spans="1:76" ht="14.4" x14ac:dyDescent="0.3">
      <c r="A956" s="1" t="s">
        <v>1518</v>
      </c>
      <c r="B956" s="2" t="s">
        <v>1519</v>
      </c>
      <c r="C956" s="75" t="s">
        <v>1520</v>
      </c>
      <c r="D956" s="70"/>
      <c r="E956" s="2" t="s">
        <v>1521</v>
      </c>
      <c r="F956" s="50">
        <v>7</v>
      </c>
      <c r="G956" s="50">
        <v>0</v>
      </c>
      <c r="H956" s="50">
        <f>ROUND(F956*AO956,2)</f>
        <v>0</v>
      </c>
      <c r="I956" s="50">
        <f>ROUND(F956*AP956,2)</f>
        <v>0</v>
      </c>
      <c r="J956" s="50">
        <f>ROUND(F956*G956,2)</f>
        <v>0</v>
      </c>
      <c r="K956" s="51" t="s">
        <v>116</v>
      </c>
      <c r="Z956" s="50">
        <f>ROUND(IF(AQ956="5",BJ956,0),2)</f>
        <v>0</v>
      </c>
      <c r="AB956" s="50">
        <f>ROUND(IF(AQ956="1",BH956,0),2)</f>
        <v>0</v>
      </c>
      <c r="AC956" s="50">
        <f>ROUND(IF(AQ956="1",BI956,0),2)</f>
        <v>0</v>
      </c>
      <c r="AD956" s="50">
        <f>ROUND(IF(AQ956="7",BH956,0),2)</f>
        <v>0</v>
      </c>
      <c r="AE956" s="50">
        <f>ROUND(IF(AQ956="7",BI956,0),2)</f>
        <v>0</v>
      </c>
      <c r="AF956" s="50">
        <f>ROUND(IF(AQ956="2",BH956,0),2)</f>
        <v>0</v>
      </c>
      <c r="AG956" s="50">
        <f>ROUND(IF(AQ956="2",BI956,0),2)</f>
        <v>0</v>
      </c>
      <c r="AH956" s="50">
        <f>ROUND(IF(AQ956="0",BJ956,0),2)</f>
        <v>0</v>
      </c>
      <c r="AI956" s="32" t="s">
        <v>4</v>
      </c>
      <c r="AJ956" s="50">
        <f>IF(AN956=0,J956,0)</f>
        <v>0</v>
      </c>
      <c r="AK956" s="50">
        <f>IF(AN956=12,J956,0)</f>
        <v>0</v>
      </c>
      <c r="AL956" s="50">
        <f>IF(AN956=21,J956,0)</f>
        <v>0</v>
      </c>
      <c r="AN956" s="50">
        <v>21</v>
      </c>
      <c r="AO956" s="50">
        <f>G956*0.463131064</f>
        <v>0</v>
      </c>
      <c r="AP956" s="50">
        <f>G956*(1-0.463131064)</f>
        <v>0</v>
      </c>
      <c r="AQ956" s="52" t="s">
        <v>112</v>
      </c>
      <c r="AV956" s="50">
        <f>ROUND(AW956+AX956,2)</f>
        <v>0</v>
      </c>
      <c r="AW956" s="50">
        <f>ROUND(F956*AO956,2)</f>
        <v>0</v>
      </c>
      <c r="AX956" s="50">
        <f>ROUND(F956*AP956,2)</f>
        <v>0</v>
      </c>
      <c r="AY956" s="52" t="s">
        <v>1493</v>
      </c>
      <c r="AZ956" s="52" t="s">
        <v>1472</v>
      </c>
      <c r="BA956" s="32" t="s">
        <v>119</v>
      </c>
      <c r="BC956" s="50">
        <f>AW956+AX956</f>
        <v>0</v>
      </c>
      <c r="BD956" s="50">
        <f>G956/(100-BE956)*100</f>
        <v>0</v>
      </c>
      <c r="BE956" s="50">
        <v>0</v>
      </c>
      <c r="BF956" s="50">
        <f>956</f>
        <v>956</v>
      </c>
      <c r="BH956" s="50">
        <f>F956*AO956</f>
        <v>0</v>
      </c>
      <c r="BI956" s="50">
        <f>F956*AP956</f>
        <v>0</v>
      </c>
      <c r="BJ956" s="50">
        <f>F956*G956</f>
        <v>0</v>
      </c>
      <c r="BK956" s="50"/>
      <c r="BL956" s="50">
        <v>89</v>
      </c>
      <c r="BW956" s="50">
        <v>21</v>
      </c>
      <c r="BX956" s="3" t="s">
        <v>1520</v>
      </c>
    </row>
    <row r="957" spans="1:76" ht="14.4" x14ac:dyDescent="0.3">
      <c r="A957" s="53"/>
      <c r="C957" s="54" t="s">
        <v>158</v>
      </c>
      <c r="D957" s="54" t="s">
        <v>4</v>
      </c>
      <c r="F957" s="55">
        <v>7</v>
      </c>
      <c r="K957" s="56"/>
    </row>
    <row r="958" spans="1:76" ht="14.4" x14ac:dyDescent="0.3">
      <c r="A958" s="1" t="s">
        <v>1522</v>
      </c>
      <c r="B958" s="2" t="s">
        <v>1523</v>
      </c>
      <c r="C958" s="75" t="s">
        <v>1524</v>
      </c>
      <c r="D958" s="70"/>
      <c r="E958" s="2" t="s">
        <v>278</v>
      </c>
      <c r="F958" s="50">
        <v>1</v>
      </c>
      <c r="G958" s="50">
        <v>0</v>
      </c>
      <c r="H958" s="50">
        <f>ROUND(F958*AO958,2)</f>
        <v>0</v>
      </c>
      <c r="I958" s="50">
        <f>ROUND(F958*AP958,2)</f>
        <v>0</v>
      </c>
      <c r="J958" s="50">
        <f>ROUND(F958*G958,2)</f>
        <v>0</v>
      </c>
      <c r="K958" s="51" t="s">
        <v>116</v>
      </c>
      <c r="Z958" s="50">
        <f>ROUND(IF(AQ958="5",BJ958,0),2)</f>
        <v>0</v>
      </c>
      <c r="AB958" s="50">
        <f>ROUND(IF(AQ958="1",BH958,0),2)</f>
        <v>0</v>
      </c>
      <c r="AC958" s="50">
        <f>ROUND(IF(AQ958="1",BI958,0),2)</f>
        <v>0</v>
      </c>
      <c r="AD958" s="50">
        <f>ROUND(IF(AQ958="7",BH958,0),2)</f>
        <v>0</v>
      </c>
      <c r="AE958" s="50">
        <f>ROUND(IF(AQ958="7",BI958,0),2)</f>
        <v>0</v>
      </c>
      <c r="AF958" s="50">
        <f>ROUND(IF(AQ958="2",BH958,0),2)</f>
        <v>0</v>
      </c>
      <c r="AG958" s="50">
        <f>ROUND(IF(AQ958="2",BI958,0),2)</f>
        <v>0</v>
      </c>
      <c r="AH958" s="50">
        <f>ROUND(IF(AQ958="0",BJ958,0),2)</f>
        <v>0</v>
      </c>
      <c r="AI958" s="32" t="s">
        <v>4</v>
      </c>
      <c r="AJ958" s="50">
        <f>IF(AN958=0,J958,0)</f>
        <v>0</v>
      </c>
      <c r="AK958" s="50">
        <f>IF(AN958=12,J958,0)</f>
        <v>0</v>
      </c>
      <c r="AL958" s="50">
        <f>IF(AN958=21,J958,0)</f>
        <v>0</v>
      </c>
      <c r="AN958" s="50">
        <v>21</v>
      </c>
      <c r="AO958" s="50">
        <f>G958*0.690899818</f>
        <v>0</v>
      </c>
      <c r="AP958" s="50">
        <f>G958*(1-0.690899818)</f>
        <v>0</v>
      </c>
      <c r="AQ958" s="52" t="s">
        <v>112</v>
      </c>
      <c r="AV958" s="50">
        <f>ROUND(AW958+AX958,2)</f>
        <v>0</v>
      </c>
      <c r="AW958" s="50">
        <f>ROUND(F958*AO958,2)</f>
        <v>0</v>
      </c>
      <c r="AX958" s="50">
        <f>ROUND(F958*AP958,2)</f>
        <v>0</v>
      </c>
      <c r="AY958" s="52" t="s">
        <v>1493</v>
      </c>
      <c r="AZ958" s="52" t="s">
        <v>1472</v>
      </c>
      <c r="BA958" s="32" t="s">
        <v>119</v>
      </c>
      <c r="BC958" s="50">
        <f>AW958+AX958</f>
        <v>0</v>
      </c>
      <c r="BD958" s="50">
        <f>G958/(100-BE958)*100</f>
        <v>0</v>
      </c>
      <c r="BE958" s="50">
        <v>0</v>
      </c>
      <c r="BF958" s="50">
        <f>958</f>
        <v>958</v>
      </c>
      <c r="BH958" s="50">
        <f>F958*AO958</f>
        <v>0</v>
      </c>
      <c r="BI958" s="50">
        <f>F958*AP958</f>
        <v>0</v>
      </c>
      <c r="BJ958" s="50">
        <f>F958*G958</f>
        <v>0</v>
      </c>
      <c r="BK958" s="50"/>
      <c r="BL958" s="50">
        <v>89</v>
      </c>
      <c r="BW958" s="50">
        <v>21</v>
      </c>
      <c r="BX958" s="3" t="s">
        <v>1524</v>
      </c>
    </row>
    <row r="959" spans="1:76" ht="13.5" customHeight="1" x14ac:dyDescent="0.3">
      <c r="A959" s="53"/>
      <c r="B959" s="57" t="s">
        <v>198</v>
      </c>
      <c r="C959" s="150" t="s">
        <v>1525</v>
      </c>
      <c r="D959" s="151"/>
      <c r="E959" s="151"/>
      <c r="F959" s="151"/>
      <c r="G959" s="151"/>
      <c r="H959" s="151"/>
      <c r="I959" s="151"/>
      <c r="J959" s="151"/>
      <c r="K959" s="152"/>
    </row>
    <row r="960" spans="1:76" ht="14.4" x14ac:dyDescent="0.3">
      <c r="A960" s="53"/>
      <c r="C960" s="54" t="s">
        <v>112</v>
      </c>
      <c r="D960" s="54" t="s">
        <v>4</v>
      </c>
      <c r="F960" s="55">
        <v>1</v>
      </c>
      <c r="K960" s="56"/>
    </row>
    <row r="961" spans="1:76" ht="14.4" x14ac:dyDescent="0.3">
      <c r="A961" s="1" t="s">
        <v>1526</v>
      </c>
      <c r="B961" s="2" t="s">
        <v>1527</v>
      </c>
      <c r="C961" s="75" t="s">
        <v>1528</v>
      </c>
      <c r="D961" s="70"/>
      <c r="E961" s="2" t="s">
        <v>278</v>
      </c>
      <c r="F961" s="50">
        <v>1</v>
      </c>
      <c r="G961" s="50">
        <v>0</v>
      </c>
      <c r="H961" s="50">
        <f>ROUND(F961*AO961,2)</f>
        <v>0</v>
      </c>
      <c r="I961" s="50">
        <f>ROUND(F961*AP961,2)</f>
        <v>0</v>
      </c>
      <c r="J961" s="50">
        <f>ROUND(F961*G961,2)</f>
        <v>0</v>
      </c>
      <c r="K961" s="51" t="s">
        <v>116</v>
      </c>
      <c r="Z961" s="50">
        <f>ROUND(IF(AQ961="5",BJ961,0),2)</f>
        <v>0</v>
      </c>
      <c r="AB961" s="50">
        <f>ROUND(IF(AQ961="1",BH961,0),2)</f>
        <v>0</v>
      </c>
      <c r="AC961" s="50">
        <f>ROUND(IF(AQ961="1",BI961,0),2)</f>
        <v>0</v>
      </c>
      <c r="AD961" s="50">
        <f>ROUND(IF(AQ961="7",BH961,0),2)</f>
        <v>0</v>
      </c>
      <c r="AE961" s="50">
        <f>ROUND(IF(AQ961="7",BI961,0),2)</f>
        <v>0</v>
      </c>
      <c r="AF961" s="50">
        <f>ROUND(IF(AQ961="2",BH961,0),2)</f>
        <v>0</v>
      </c>
      <c r="AG961" s="50">
        <f>ROUND(IF(AQ961="2",BI961,0),2)</f>
        <v>0</v>
      </c>
      <c r="AH961" s="50">
        <f>ROUND(IF(AQ961="0",BJ961,0),2)</f>
        <v>0</v>
      </c>
      <c r="AI961" s="32" t="s">
        <v>4</v>
      </c>
      <c r="AJ961" s="50">
        <f>IF(AN961=0,J961,0)</f>
        <v>0</v>
      </c>
      <c r="AK961" s="50">
        <f>IF(AN961=12,J961,0)</f>
        <v>0</v>
      </c>
      <c r="AL961" s="50">
        <f>IF(AN961=21,J961,0)</f>
        <v>0</v>
      </c>
      <c r="AN961" s="50">
        <v>21</v>
      </c>
      <c r="AO961" s="50">
        <f>G961*1</f>
        <v>0</v>
      </c>
      <c r="AP961" s="50">
        <f>G961*(1-1)</f>
        <v>0</v>
      </c>
      <c r="AQ961" s="52" t="s">
        <v>112</v>
      </c>
      <c r="AV961" s="50">
        <f>ROUND(AW961+AX961,2)</f>
        <v>0</v>
      </c>
      <c r="AW961" s="50">
        <f>ROUND(F961*AO961,2)</f>
        <v>0</v>
      </c>
      <c r="AX961" s="50">
        <f>ROUND(F961*AP961,2)</f>
        <v>0</v>
      </c>
      <c r="AY961" s="52" t="s">
        <v>1493</v>
      </c>
      <c r="AZ961" s="52" t="s">
        <v>1472</v>
      </c>
      <c r="BA961" s="32" t="s">
        <v>119</v>
      </c>
      <c r="BC961" s="50">
        <f>AW961+AX961</f>
        <v>0</v>
      </c>
      <c r="BD961" s="50">
        <f>G961/(100-BE961)*100</f>
        <v>0</v>
      </c>
      <c r="BE961" s="50">
        <v>0</v>
      </c>
      <c r="BF961" s="50">
        <f>961</f>
        <v>961</v>
      </c>
      <c r="BH961" s="50">
        <f>F961*AO961</f>
        <v>0</v>
      </c>
      <c r="BI961" s="50">
        <f>F961*AP961</f>
        <v>0</v>
      </c>
      <c r="BJ961" s="50">
        <f>F961*G961</f>
        <v>0</v>
      </c>
      <c r="BK961" s="50"/>
      <c r="BL961" s="50">
        <v>89</v>
      </c>
      <c r="BW961" s="50">
        <v>21</v>
      </c>
      <c r="BX961" s="3" t="s">
        <v>1528</v>
      </c>
    </row>
    <row r="962" spans="1:76" ht="14.4" x14ac:dyDescent="0.3">
      <c r="A962" s="53"/>
      <c r="C962" s="54" t="s">
        <v>112</v>
      </c>
      <c r="D962" s="54" t="s">
        <v>4</v>
      </c>
      <c r="F962" s="55">
        <v>1</v>
      </c>
      <c r="K962" s="56"/>
    </row>
    <row r="963" spans="1:76" ht="14.4" x14ac:dyDescent="0.3">
      <c r="A963" s="46" t="s">
        <v>4</v>
      </c>
      <c r="B963" s="47" t="s">
        <v>556</v>
      </c>
      <c r="C963" s="148" t="s">
        <v>1529</v>
      </c>
      <c r="D963" s="149"/>
      <c r="E963" s="48" t="s">
        <v>74</v>
      </c>
      <c r="F963" s="48" t="s">
        <v>74</v>
      </c>
      <c r="G963" s="48" t="s">
        <v>74</v>
      </c>
      <c r="H963" s="26">
        <f>SUM(H964:H970)</f>
        <v>0</v>
      </c>
      <c r="I963" s="26">
        <f>SUM(I964:I970)</f>
        <v>0</v>
      </c>
      <c r="J963" s="26">
        <f>SUM(J964:J970)</f>
        <v>0</v>
      </c>
      <c r="K963" s="49" t="s">
        <v>4</v>
      </c>
      <c r="AI963" s="32" t="s">
        <v>4</v>
      </c>
      <c r="AS963" s="26">
        <f>SUM(AJ964:AJ970)</f>
        <v>0</v>
      </c>
      <c r="AT963" s="26">
        <f>SUM(AK964:AK970)</f>
        <v>0</v>
      </c>
      <c r="AU963" s="26">
        <f>SUM(AL964:AL970)</f>
        <v>0</v>
      </c>
    </row>
    <row r="964" spans="1:76" ht="14.4" x14ac:dyDescent="0.3">
      <c r="A964" s="1" t="s">
        <v>1530</v>
      </c>
      <c r="B964" s="2" t="s">
        <v>1531</v>
      </c>
      <c r="C964" s="75" t="s">
        <v>1532</v>
      </c>
      <c r="D964" s="70"/>
      <c r="E964" s="2" t="s">
        <v>1533</v>
      </c>
      <c r="F964" s="50">
        <v>15</v>
      </c>
      <c r="G964" s="50">
        <v>0</v>
      </c>
      <c r="H964" s="50">
        <f>ROUND(F964*AO964,2)</f>
        <v>0</v>
      </c>
      <c r="I964" s="50">
        <f>ROUND(F964*AP964,2)</f>
        <v>0</v>
      </c>
      <c r="J964" s="50">
        <f>ROUND(F964*G964,2)</f>
        <v>0</v>
      </c>
      <c r="K964" s="51" t="s">
        <v>116</v>
      </c>
      <c r="Z964" s="50">
        <f>ROUND(IF(AQ964="5",BJ964,0),2)</f>
        <v>0</v>
      </c>
      <c r="AB964" s="50">
        <f>ROUND(IF(AQ964="1",BH964,0),2)</f>
        <v>0</v>
      </c>
      <c r="AC964" s="50">
        <f>ROUND(IF(AQ964="1",BI964,0),2)</f>
        <v>0</v>
      </c>
      <c r="AD964" s="50">
        <f>ROUND(IF(AQ964="7",BH964,0),2)</f>
        <v>0</v>
      </c>
      <c r="AE964" s="50">
        <f>ROUND(IF(AQ964="7",BI964,0),2)</f>
        <v>0</v>
      </c>
      <c r="AF964" s="50">
        <f>ROUND(IF(AQ964="2",BH964,0),2)</f>
        <v>0</v>
      </c>
      <c r="AG964" s="50">
        <f>ROUND(IF(AQ964="2",BI964,0),2)</f>
        <v>0</v>
      </c>
      <c r="AH964" s="50">
        <f>ROUND(IF(AQ964="0",BJ964,0),2)</f>
        <v>0</v>
      </c>
      <c r="AI964" s="32" t="s">
        <v>4</v>
      </c>
      <c r="AJ964" s="50">
        <f>IF(AN964=0,J964,0)</f>
        <v>0</v>
      </c>
      <c r="AK964" s="50">
        <f>IF(AN964=12,J964,0)</f>
        <v>0</v>
      </c>
      <c r="AL964" s="50">
        <f>IF(AN964=21,J964,0)</f>
        <v>0</v>
      </c>
      <c r="AN964" s="50">
        <v>21</v>
      </c>
      <c r="AO964" s="50">
        <f>G964*0</f>
        <v>0</v>
      </c>
      <c r="AP964" s="50">
        <f>G964*(1-0)</f>
        <v>0</v>
      </c>
      <c r="AQ964" s="52" t="s">
        <v>112</v>
      </c>
      <c r="AV964" s="50">
        <f>ROUND(AW964+AX964,2)</f>
        <v>0</v>
      </c>
      <c r="AW964" s="50">
        <f>ROUND(F964*AO964,2)</f>
        <v>0</v>
      </c>
      <c r="AX964" s="50">
        <f>ROUND(F964*AP964,2)</f>
        <v>0</v>
      </c>
      <c r="AY964" s="52" t="s">
        <v>1534</v>
      </c>
      <c r="AZ964" s="52" t="s">
        <v>1535</v>
      </c>
      <c r="BA964" s="32" t="s">
        <v>119</v>
      </c>
      <c r="BC964" s="50">
        <f>AW964+AX964</f>
        <v>0</v>
      </c>
      <c r="BD964" s="50">
        <f>G964/(100-BE964)*100</f>
        <v>0</v>
      </c>
      <c r="BE964" s="50">
        <v>0</v>
      </c>
      <c r="BF964" s="50">
        <f>964</f>
        <v>964</v>
      </c>
      <c r="BH964" s="50">
        <f>F964*AO964</f>
        <v>0</v>
      </c>
      <c r="BI964" s="50">
        <f>F964*AP964</f>
        <v>0</v>
      </c>
      <c r="BJ964" s="50">
        <f>F964*G964</f>
        <v>0</v>
      </c>
      <c r="BK964" s="50"/>
      <c r="BL964" s="50">
        <v>90</v>
      </c>
      <c r="BW964" s="50">
        <v>21</v>
      </c>
      <c r="BX964" s="3" t="s">
        <v>1532</v>
      </c>
    </row>
    <row r="965" spans="1:76" ht="13.5" customHeight="1" x14ac:dyDescent="0.3">
      <c r="A965" s="53"/>
      <c r="B965" s="57" t="s">
        <v>198</v>
      </c>
      <c r="C965" s="150" t="s">
        <v>1536</v>
      </c>
      <c r="D965" s="151"/>
      <c r="E965" s="151"/>
      <c r="F965" s="151"/>
      <c r="G965" s="151"/>
      <c r="H965" s="151"/>
      <c r="I965" s="151"/>
      <c r="J965" s="151"/>
      <c r="K965" s="152"/>
    </row>
    <row r="966" spans="1:76" ht="14.4" x14ac:dyDescent="0.3">
      <c r="A966" s="53"/>
      <c r="C966" s="54" t="s">
        <v>213</v>
      </c>
      <c r="D966" s="54" t="s">
        <v>4</v>
      </c>
      <c r="F966" s="55">
        <v>15</v>
      </c>
      <c r="K966" s="56"/>
    </row>
    <row r="967" spans="1:76" ht="14.4" x14ac:dyDescent="0.3">
      <c r="A967" s="1" t="s">
        <v>1537</v>
      </c>
      <c r="B967" s="2" t="s">
        <v>1538</v>
      </c>
      <c r="C967" s="75" t="s">
        <v>1539</v>
      </c>
      <c r="D967" s="70"/>
      <c r="E967" s="2" t="s">
        <v>1533</v>
      </c>
      <c r="F967" s="50">
        <v>25</v>
      </c>
      <c r="G967" s="50">
        <v>0</v>
      </c>
      <c r="H967" s="50">
        <f>ROUND(F967*AO967,2)</f>
        <v>0</v>
      </c>
      <c r="I967" s="50">
        <f>ROUND(F967*AP967,2)</f>
        <v>0</v>
      </c>
      <c r="J967" s="50">
        <f>ROUND(F967*G967,2)</f>
        <v>0</v>
      </c>
      <c r="K967" s="51" t="s">
        <v>116</v>
      </c>
      <c r="Z967" s="50">
        <f>ROUND(IF(AQ967="5",BJ967,0),2)</f>
        <v>0</v>
      </c>
      <c r="AB967" s="50">
        <f>ROUND(IF(AQ967="1",BH967,0),2)</f>
        <v>0</v>
      </c>
      <c r="AC967" s="50">
        <f>ROUND(IF(AQ967="1",BI967,0),2)</f>
        <v>0</v>
      </c>
      <c r="AD967" s="50">
        <f>ROUND(IF(AQ967="7",BH967,0),2)</f>
        <v>0</v>
      </c>
      <c r="AE967" s="50">
        <f>ROUND(IF(AQ967="7",BI967,0),2)</f>
        <v>0</v>
      </c>
      <c r="AF967" s="50">
        <f>ROUND(IF(AQ967="2",BH967,0),2)</f>
        <v>0</v>
      </c>
      <c r="AG967" s="50">
        <f>ROUND(IF(AQ967="2",BI967,0),2)</f>
        <v>0</v>
      </c>
      <c r="AH967" s="50">
        <f>ROUND(IF(AQ967="0",BJ967,0),2)</f>
        <v>0</v>
      </c>
      <c r="AI967" s="32" t="s">
        <v>4</v>
      </c>
      <c r="AJ967" s="50">
        <f>IF(AN967=0,J967,0)</f>
        <v>0</v>
      </c>
      <c r="AK967" s="50">
        <f>IF(AN967=12,J967,0)</f>
        <v>0</v>
      </c>
      <c r="AL967" s="50">
        <f>IF(AN967=21,J967,0)</f>
        <v>0</v>
      </c>
      <c r="AN967" s="50">
        <v>21</v>
      </c>
      <c r="AO967" s="50">
        <f>G967*0</f>
        <v>0</v>
      </c>
      <c r="AP967" s="50">
        <f>G967*(1-0)</f>
        <v>0</v>
      </c>
      <c r="AQ967" s="52" t="s">
        <v>112</v>
      </c>
      <c r="AV967" s="50">
        <f>ROUND(AW967+AX967,2)</f>
        <v>0</v>
      </c>
      <c r="AW967" s="50">
        <f>ROUND(F967*AO967,2)</f>
        <v>0</v>
      </c>
      <c r="AX967" s="50">
        <f>ROUND(F967*AP967,2)</f>
        <v>0</v>
      </c>
      <c r="AY967" s="52" t="s">
        <v>1534</v>
      </c>
      <c r="AZ967" s="52" t="s">
        <v>1535</v>
      </c>
      <c r="BA967" s="32" t="s">
        <v>119</v>
      </c>
      <c r="BC967" s="50">
        <f>AW967+AX967</f>
        <v>0</v>
      </c>
      <c r="BD967" s="50">
        <f>G967/(100-BE967)*100</f>
        <v>0</v>
      </c>
      <c r="BE967" s="50">
        <v>0</v>
      </c>
      <c r="BF967" s="50">
        <f>967</f>
        <v>967</v>
      </c>
      <c r="BH967" s="50">
        <f>F967*AO967</f>
        <v>0</v>
      </c>
      <c r="BI967" s="50">
        <f>F967*AP967</f>
        <v>0</v>
      </c>
      <c r="BJ967" s="50">
        <f>F967*G967</f>
        <v>0</v>
      </c>
      <c r="BK967" s="50"/>
      <c r="BL967" s="50">
        <v>90</v>
      </c>
      <c r="BW967" s="50">
        <v>21</v>
      </c>
      <c r="BX967" s="3" t="s">
        <v>1539</v>
      </c>
    </row>
    <row r="968" spans="1:76" ht="14.4" x14ac:dyDescent="0.3">
      <c r="A968" s="53"/>
      <c r="C968" s="54" t="s">
        <v>213</v>
      </c>
      <c r="D968" s="54" t="s">
        <v>1540</v>
      </c>
      <c r="F968" s="55">
        <v>15</v>
      </c>
      <c r="K968" s="56"/>
    </row>
    <row r="969" spans="1:76" ht="14.4" x14ac:dyDescent="0.3">
      <c r="A969" s="53"/>
      <c r="C969" s="54" t="s">
        <v>170</v>
      </c>
      <c r="D969" s="54" t="s">
        <v>1541</v>
      </c>
      <c r="F969" s="55">
        <v>10</v>
      </c>
      <c r="K969" s="56"/>
    </row>
    <row r="970" spans="1:76" ht="14.4" x14ac:dyDescent="0.3">
      <c r="A970" s="1" t="s">
        <v>1542</v>
      </c>
      <c r="B970" s="2" t="s">
        <v>1543</v>
      </c>
      <c r="C970" s="75" t="s">
        <v>1544</v>
      </c>
      <c r="D970" s="70"/>
      <c r="E970" s="2" t="s">
        <v>1533</v>
      </c>
      <c r="F970" s="50">
        <v>34</v>
      </c>
      <c r="G970" s="50">
        <v>0</v>
      </c>
      <c r="H970" s="50">
        <f>ROUND(F970*AO970,2)</f>
        <v>0</v>
      </c>
      <c r="I970" s="50">
        <f>ROUND(F970*AP970,2)</f>
        <v>0</v>
      </c>
      <c r="J970" s="50">
        <f>ROUND(F970*G970,2)</f>
        <v>0</v>
      </c>
      <c r="K970" s="51" t="s">
        <v>116</v>
      </c>
      <c r="Z970" s="50">
        <f>ROUND(IF(AQ970="5",BJ970,0),2)</f>
        <v>0</v>
      </c>
      <c r="AB970" s="50">
        <f>ROUND(IF(AQ970="1",BH970,0),2)</f>
        <v>0</v>
      </c>
      <c r="AC970" s="50">
        <f>ROUND(IF(AQ970="1",BI970,0),2)</f>
        <v>0</v>
      </c>
      <c r="AD970" s="50">
        <f>ROUND(IF(AQ970="7",BH970,0),2)</f>
        <v>0</v>
      </c>
      <c r="AE970" s="50">
        <f>ROUND(IF(AQ970="7",BI970,0),2)</f>
        <v>0</v>
      </c>
      <c r="AF970" s="50">
        <f>ROUND(IF(AQ970="2",BH970,0),2)</f>
        <v>0</v>
      </c>
      <c r="AG970" s="50">
        <f>ROUND(IF(AQ970="2",BI970,0),2)</f>
        <v>0</v>
      </c>
      <c r="AH970" s="50">
        <f>ROUND(IF(AQ970="0",BJ970,0),2)</f>
        <v>0</v>
      </c>
      <c r="AI970" s="32" t="s">
        <v>4</v>
      </c>
      <c r="AJ970" s="50">
        <f>IF(AN970=0,J970,0)</f>
        <v>0</v>
      </c>
      <c r="AK970" s="50">
        <f>IF(AN970=12,J970,0)</f>
        <v>0</v>
      </c>
      <c r="AL970" s="50">
        <f>IF(AN970=21,J970,0)</f>
        <v>0</v>
      </c>
      <c r="AN970" s="50">
        <v>21</v>
      </c>
      <c r="AO970" s="50">
        <f>G970*0</f>
        <v>0</v>
      </c>
      <c r="AP970" s="50">
        <f>G970*(1-0)</f>
        <v>0</v>
      </c>
      <c r="AQ970" s="52" t="s">
        <v>112</v>
      </c>
      <c r="AV970" s="50">
        <f>ROUND(AW970+AX970,2)</f>
        <v>0</v>
      </c>
      <c r="AW970" s="50">
        <f>ROUND(F970*AO970,2)</f>
        <v>0</v>
      </c>
      <c r="AX970" s="50">
        <f>ROUND(F970*AP970,2)</f>
        <v>0</v>
      </c>
      <c r="AY970" s="52" t="s">
        <v>1534</v>
      </c>
      <c r="AZ970" s="52" t="s">
        <v>1535</v>
      </c>
      <c r="BA970" s="32" t="s">
        <v>119</v>
      </c>
      <c r="BC970" s="50">
        <f>AW970+AX970</f>
        <v>0</v>
      </c>
      <c r="BD970" s="50">
        <f>G970/(100-BE970)*100</f>
        <v>0</v>
      </c>
      <c r="BE970" s="50">
        <v>0</v>
      </c>
      <c r="BF970" s="50">
        <f>970</f>
        <v>970</v>
      </c>
      <c r="BH970" s="50">
        <f>F970*AO970</f>
        <v>0</v>
      </c>
      <c r="BI970" s="50">
        <f>F970*AP970</f>
        <v>0</v>
      </c>
      <c r="BJ970" s="50">
        <f>F970*G970</f>
        <v>0</v>
      </c>
      <c r="BK970" s="50"/>
      <c r="BL970" s="50">
        <v>90</v>
      </c>
      <c r="BW970" s="50">
        <v>21</v>
      </c>
      <c r="BX970" s="3" t="s">
        <v>1544</v>
      </c>
    </row>
    <row r="971" spans="1:76" ht="13.5" customHeight="1" x14ac:dyDescent="0.3">
      <c r="A971" s="53"/>
      <c r="B971" s="57" t="s">
        <v>198</v>
      </c>
      <c r="C971" s="150" t="s">
        <v>1545</v>
      </c>
      <c r="D971" s="151"/>
      <c r="E971" s="151"/>
      <c r="F971" s="151"/>
      <c r="G971" s="151"/>
      <c r="H971" s="151"/>
      <c r="I971" s="151"/>
      <c r="J971" s="151"/>
      <c r="K971" s="152"/>
    </row>
    <row r="972" spans="1:76" ht="14.4" x14ac:dyDescent="0.3">
      <c r="A972" s="53"/>
      <c r="C972" s="54" t="s">
        <v>170</v>
      </c>
      <c r="D972" s="54" t="s">
        <v>1546</v>
      </c>
      <c r="F972" s="55">
        <v>10</v>
      </c>
      <c r="K972" s="56"/>
    </row>
    <row r="973" spans="1:76" ht="14.4" x14ac:dyDescent="0.3">
      <c r="A973" s="53"/>
      <c r="C973" s="54" t="s">
        <v>254</v>
      </c>
      <c r="D973" s="54" t="s">
        <v>1547</v>
      </c>
      <c r="F973" s="55">
        <v>24</v>
      </c>
      <c r="K973" s="56"/>
    </row>
    <row r="974" spans="1:76" ht="14.4" x14ac:dyDescent="0.3">
      <c r="A974" s="46" t="s">
        <v>4</v>
      </c>
      <c r="B974" s="47" t="s">
        <v>563</v>
      </c>
      <c r="C974" s="148" t="s">
        <v>1548</v>
      </c>
      <c r="D974" s="149"/>
      <c r="E974" s="48" t="s">
        <v>74</v>
      </c>
      <c r="F974" s="48" t="s">
        <v>74</v>
      </c>
      <c r="G974" s="48" t="s">
        <v>74</v>
      </c>
      <c r="H974" s="26">
        <f>SUM(H975:H978)</f>
        <v>0</v>
      </c>
      <c r="I974" s="26">
        <f>SUM(I975:I978)</f>
        <v>0</v>
      </c>
      <c r="J974" s="26">
        <f>SUM(J975:J978)</f>
        <v>0</v>
      </c>
      <c r="K974" s="49" t="s">
        <v>4</v>
      </c>
      <c r="AI974" s="32" t="s">
        <v>4</v>
      </c>
      <c r="AS974" s="26">
        <f>SUM(AJ975:AJ978)</f>
        <v>0</v>
      </c>
      <c r="AT974" s="26">
        <f>SUM(AK975:AK978)</f>
        <v>0</v>
      </c>
      <c r="AU974" s="26">
        <f>SUM(AL975:AL978)</f>
        <v>0</v>
      </c>
    </row>
    <row r="975" spans="1:76" ht="14.4" x14ac:dyDescent="0.3">
      <c r="A975" s="1" t="s">
        <v>1549</v>
      </c>
      <c r="B975" s="2" t="s">
        <v>1550</v>
      </c>
      <c r="C975" s="75" t="s">
        <v>1551</v>
      </c>
      <c r="D975" s="70"/>
      <c r="E975" s="2" t="s">
        <v>233</v>
      </c>
      <c r="F975" s="50">
        <v>59.25</v>
      </c>
      <c r="G975" s="50">
        <v>0</v>
      </c>
      <c r="H975" s="50">
        <f>ROUND(F975*AO975,2)</f>
        <v>0</v>
      </c>
      <c r="I975" s="50">
        <f>ROUND(F975*AP975,2)</f>
        <v>0</v>
      </c>
      <c r="J975" s="50">
        <f>ROUND(F975*G975,2)</f>
        <v>0</v>
      </c>
      <c r="K975" s="51" t="s">
        <v>116</v>
      </c>
      <c r="Z975" s="50">
        <f>ROUND(IF(AQ975="5",BJ975,0),2)</f>
        <v>0</v>
      </c>
      <c r="AB975" s="50">
        <f>ROUND(IF(AQ975="1",BH975,0),2)</f>
        <v>0</v>
      </c>
      <c r="AC975" s="50">
        <f>ROUND(IF(AQ975="1",BI975,0),2)</f>
        <v>0</v>
      </c>
      <c r="AD975" s="50">
        <f>ROUND(IF(AQ975="7",BH975,0),2)</f>
        <v>0</v>
      </c>
      <c r="AE975" s="50">
        <f>ROUND(IF(AQ975="7",BI975,0),2)</f>
        <v>0</v>
      </c>
      <c r="AF975" s="50">
        <f>ROUND(IF(AQ975="2",BH975,0),2)</f>
        <v>0</v>
      </c>
      <c r="AG975" s="50">
        <f>ROUND(IF(AQ975="2",BI975,0),2)</f>
        <v>0</v>
      </c>
      <c r="AH975" s="50">
        <f>ROUND(IF(AQ975="0",BJ975,0),2)</f>
        <v>0</v>
      </c>
      <c r="AI975" s="32" t="s">
        <v>4</v>
      </c>
      <c r="AJ975" s="50">
        <f>IF(AN975=0,J975,0)</f>
        <v>0</v>
      </c>
      <c r="AK975" s="50">
        <f>IF(AN975=12,J975,0)</f>
        <v>0</v>
      </c>
      <c r="AL975" s="50">
        <f>IF(AN975=21,J975,0)</f>
        <v>0</v>
      </c>
      <c r="AN975" s="50">
        <v>21</v>
      </c>
      <c r="AO975" s="50">
        <f>G975*0.693108957</f>
        <v>0</v>
      </c>
      <c r="AP975" s="50">
        <f>G975*(1-0.693108957)</f>
        <v>0</v>
      </c>
      <c r="AQ975" s="52" t="s">
        <v>112</v>
      </c>
      <c r="AV975" s="50">
        <f>ROUND(AW975+AX975,2)</f>
        <v>0</v>
      </c>
      <c r="AW975" s="50">
        <f>ROUND(F975*AO975,2)</f>
        <v>0</v>
      </c>
      <c r="AX975" s="50">
        <f>ROUND(F975*AP975,2)</f>
        <v>0</v>
      </c>
      <c r="AY975" s="52" t="s">
        <v>1552</v>
      </c>
      <c r="AZ975" s="52" t="s">
        <v>1535</v>
      </c>
      <c r="BA975" s="32" t="s">
        <v>119</v>
      </c>
      <c r="BC975" s="50">
        <f>AW975+AX975</f>
        <v>0</v>
      </c>
      <c r="BD975" s="50">
        <f>G975/(100-BE975)*100</f>
        <v>0</v>
      </c>
      <c r="BE975" s="50">
        <v>0</v>
      </c>
      <c r="BF975" s="50">
        <f>975</f>
        <v>975</v>
      </c>
      <c r="BH975" s="50">
        <f>F975*AO975</f>
        <v>0</v>
      </c>
      <c r="BI975" s="50">
        <f>F975*AP975</f>
        <v>0</v>
      </c>
      <c r="BJ975" s="50">
        <f>F975*G975</f>
        <v>0</v>
      </c>
      <c r="BK975" s="50"/>
      <c r="BL975" s="50">
        <v>91</v>
      </c>
      <c r="BW975" s="50">
        <v>21</v>
      </c>
      <c r="BX975" s="3" t="s">
        <v>1551</v>
      </c>
    </row>
    <row r="976" spans="1:76" ht="13.5" customHeight="1" x14ac:dyDescent="0.3">
      <c r="A976" s="53"/>
      <c r="B976" s="57" t="s">
        <v>198</v>
      </c>
      <c r="C976" s="150" t="s">
        <v>1553</v>
      </c>
      <c r="D976" s="151"/>
      <c r="E976" s="151"/>
      <c r="F976" s="151"/>
      <c r="G976" s="151"/>
      <c r="H976" s="151"/>
      <c r="I976" s="151"/>
      <c r="J976" s="151"/>
      <c r="K976" s="152"/>
    </row>
    <row r="977" spans="1:76" ht="14.4" x14ac:dyDescent="0.3">
      <c r="A977" s="53"/>
      <c r="C977" s="54" t="s">
        <v>1554</v>
      </c>
      <c r="D977" s="54" t="s">
        <v>4</v>
      </c>
      <c r="F977" s="55">
        <v>59.25</v>
      </c>
      <c r="K977" s="56"/>
    </row>
    <row r="978" spans="1:76" ht="14.4" x14ac:dyDescent="0.3">
      <c r="A978" s="1" t="s">
        <v>1555</v>
      </c>
      <c r="B978" s="2" t="s">
        <v>1556</v>
      </c>
      <c r="C978" s="75" t="s">
        <v>1557</v>
      </c>
      <c r="D978" s="70"/>
      <c r="E978" s="2" t="s">
        <v>173</v>
      </c>
      <c r="F978" s="50">
        <v>39.743450000000003</v>
      </c>
      <c r="G978" s="50">
        <v>0</v>
      </c>
      <c r="H978" s="50">
        <f>ROUND(F978*AO978,2)</f>
        <v>0</v>
      </c>
      <c r="I978" s="50">
        <f>ROUND(F978*AP978,2)</f>
        <v>0</v>
      </c>
      <c r="J978" s="50">
        <f>ROUND(F978*G978,2)</f>
        <v>0</v>
      </c>
      <c r="K978" s="51" t="s">
        <v>116</v>
      </c>
      <c r="Z978" s="50">
        <f>ROUND(IF(AQ978="5",BJ978,0),2)</f>
        <v>0</v>
      </c>
      <c r="AB978" s="50">
        <f>ROUND(IF(AQ978="1",BH978,0),2)</f>
        <v>0</v>
      </c>
      <c r="AC978" s="50">
        <f>ROUND(IF(AQ978="1",BI978,0),2)</f>
        <v>0</v>
      </c>
      <c r="AD978" s="50">
        <f>ROUND(IF(AQ978="7",BH978,0),2)</f>
        <v>0</v>
      </c>
      <c r="AE978" s="50">
        <f>ROUND(IF(AQ978="7",BI978,0),2)</f>
        <v>0</v>
      </c>
      <c r="AF978" s="50">
        <f>ROUND(IF(AQ978="2",BH978,0),2)</f>
        <v>0</v>
      </c>
      <c r="AG978" s="50">
        <f>ROUND(IF(AQ978="2",BI978,0),2)</f>
        <v>0</v>
      </c>
      <c r="AH978" s="50">
        <f>ROUND(IF(AQ978="0",BJ978,0),2)</f>
        <v>0</v>
      </c>
      <c r="AI978" s="32" t="s">
        <v>4</v>
      </c>
      <c r="AJ978" s="50">
        <f>IF(AN978=0,J978,0)</f>
        <v>0</v>
      </c>
      <c r="AK978" s="50">
        <f>IF(AN978=12,J978,0)</f>
        <v>0</v>
      </c>
      <c r="AL978" s="50">
        <f>IF(AN978=21,J978,0)</f>
        <v>0</v>
      </c>
      <c r="AN978" s="50">
        <v>21</v>
      </c>
      <c r="AO978" s="50">
        <f>G978*0</f>
        <v>0</v>
      </c>
      <c r="AP978" s="50">
        <f>G978*(1-0)</f>
        <v>0</v>
      </c>
      <c r="AQ978" s="52" t="s">
        <v>147</v>
      </c>
      <c r="AV978" s="50">
        <f>ROUND(AW978+AX978,2)</f>
        <v>0</v>
      </c>
      <c r="AW978" s="50">
        <f>ROUND(F978*AO978,2)</f>
        <v>0</v>
      </c>
      <c r="AX978" s="50">
        <f>ROUND(F978*AP978,2)</f>
        <v>0</v>
      </c>
      <c r="AY978" s="52" t="s">
        <v>1552</v>
      </c>
      <c r="AZ978" s="52" t="s">
        <v>1535</v>
      </c>
      <c r="BA978" s="32" t="s">
        <v>119</v>
      </c>
      <c r="BC978" s="50">
        <f>AW978+AX978</f>
        <v>0</v>
      </c>
      <c r="BD978" s="50">
        <f>G978/(100-BE978)*100</f>
        <v>0</v>
      </c>
      <c r="BE978" s="50">
        <v>0</v>
      </c>
      <c r="BF978" s="50">
        <f>978</f>
        <v>978</v>
      </c>
      <c r="BH978" s="50">
        <f>F978*AO978</f>
        <v>0</v>
      </c>
      <c r="BI978" s="50">
        <f>F978*AP978</f>
        <v>0</v>
      </c>
      <c r="BJ978" s="50">
        <f>F978*G978</f>
        <v>0</v>
      </c>
      <c r="BK978" s="50"/>
      <c r="BL978" s="50">
        <v>91</v>
      </c>
      <c r="BW978" s="50">
        <v>21</v>
      </c>
      <c r="BX978" s="3" t="s">
        <v>1557</v>
      </c>
    </row>
    <row r="979" spans="1:76" ht="14.4" x14ac:dyDescent="0.3">
      <c r="A979" s="46" t="s">
        <v>4</v>
      </c>
      <c r="B979" s="47" t="s">
        <v>579</v>
      </c>
      <c r="C979" s="148" t="s">
        <v>1558</v>
      </c>
      <c r="D979" s="149"/>
      <c r="E979" s="48" t="s">
        <v>74</v>
      </c>
      <c r="F979" s="48" t="s">
        <v>74</v>
      </c>
      <c r="G979" s="48" t="s">
        <v>74</v>
      </c>
      <c r="H979" s="26">
        <f>SUM(H980:H986)</f>
        <v>0</v>
      </c>
      <c r="I979" s="26">
        <f>SUM(I980:I986)</f>
        <v>0</v>
      </c>
      <c r="J979" s="26">
        <f>SUM(J980:J986)</f>
        <v>0</v>
      </c>
      <c r="K979" s="49" t="s">
        <v>4</v>
      </c>
      <c r="AI979" s="32" t="s">
        <v>4</v>
      </c>
      <c r="AS979" s="26">
        <f>SUM(AJ980:AJ986)</f>
        <v>0</v>
      </c>
      <c r="AT979" s="26">
        <f>SUM(AK980:AK986)</f>
        <v>0</v>
      </c>
      <c r="AU979" s="26">
        <f>SUM(AL980:AL986)</f>
        <v>0</v>
      </c>
    </row>
    <row r="980" spans="1:76" ht="14.4" x14ac:dyDescent="0.3">
      <c r="A980" s="1" t="s">
        <v>1559</v>
      </c>
      <c r="B980" s="2" t="s">
        <v>1560</v>
      </c>
      <c r="C980" s="75" t="s">
        <v>1561</v>
      </c>
      <c r="D980" s="70"/>
      <c r="E980" s="2" t="s">
        <v>216</v>
      </c>
      <c r="F980" s="50">
        <v>159.30000000000001</v>
      </c>
      <c r="G980" s="50">
        <v>0</v>
      </c>
      <c r="H980" s="50">
        <f>ROUND(F980*AO980,2)</f>
        <v>0</v>
      </c>
      <c r="I980" s="50">
        <f>ROUND(F980*AP980,2)</f>
        <v>0</v>
      </c>
      <c r="J980" s="50">
        <f>ROUND(F980*G980,2)</f>
        <v>0</v>
      </c>
      <c r="K980" s="51" t="s">
        <v>116</v>
      </c>
      <c r="Z980" s="50">
        <f>ROUND(IF(AQ980="5",BJ980,0),2)</f>
        <v>0</v>
      </c>
      <c r="AB980" s="50">
        <f>ROUND(IF(AQ980="1",BH980,0),2)</f>
        <v>0</v>
      </c>
      <c r="AC980" s="50">
        <f>ROUND(IF(AQ980="1",BI980,0),2)</f>
        <v>0</v>
      </c>
      <c r="AD980" s="50">
        <f>ROUND(IF(AQ980="7",BH980,0),2)</f>
        <v>0</v>
      </c>
      <c r="AE980" s="50">
        <f>ROUND(IF(AQ980="7",BI980,0),2)</f>
        <v>0</v>
      </c>
      <c r="AF980" s="50">
        <f>ROUND(IF(AQ980="2",BH980,0),2)</f>
        <v>0</v>
      </c>
      <c r="AG980" s="50">
        <f>ROUND(IF(AQ980="2",BI980,0),2)</f>
        <v>0</v>
      </c>
      <c r="AH980" s="50">
        <f>ROUND(IF(AQ980="0",BJ980,0),2)</f>
        <v>0</v>
      </c>
      <c r="AI980" s="32" t="s">
        <v>4</v>
      </c>
      <c r="AJ980" s="50">
        <f>IF(AN980=0,J980,0)</f>
        <v>0</v>
      </c>
      <c r="AK980" s="50">
        <f>IF(AN980=12,J980,0)</f>
        <v>0</v>
      </c>
      <c r="AL980" s="50">
        <f>IF(AN980=21,J980,0)</f>
        <v>0</v>
      </c>
      <c r="AN980" s="50">
        <v>21</v>
      </c>
      <c r="AO980" s="50">
        <f>G980*0.000426226</f>
        <v>0</v>
      </c>
      <c r="AP980" s="50">
        <f>G980*(1-0.000426226)</f>
        <v>0</v>
      </c>
      <c r="AQ980" s="52" t="s">
        <v>112</v>
      </c>
      <c r="AV980" s="50">
        <f>ROUND(AW980+AX980,2)</f>
        <v>0</v>
      </c>
      <c r="AW980" s="50">
        <f>ROUND(F980*AO980,2)</f>
        <v>0</v>
      </c>
      <c r="AX980" s="50">
        <f>ROUND(F980*AP980,2)</f>
        <v>0</v>
      </c>
      <c r="AY980" s="52" t="s">
        <v>1562</v>
      </c>
      <c r="AZ980" s="52" t="s">
        <v>1535</v>
      </c>
      <c r="BA980" s="32" t="s">
        <v>119</v>
      </c>
      <c r="BC980" s="50">
        <f>AW980+AX980</f>
        <v>0</v>
      </c>
      <c r="BD980" s="50">
        <f>G980/(100-BE980)*100</f>
        <v>0</v>
      </c>
      <c r="BE980" s="50">
        <v>0</v>
      </c>
      <c r="BF980" s="50">
        <f>980</f>
        <v>980</v>
      </c>
      <c r="BH980" s="50">
        <f>F980*AO980</f>
        <v>0</v>
      </c>
      <c r="BI980" s="50">
        <f>F980*AP980</f>
        <v>0</v>
      </c>
      <c r="BJ980" s="50">
        <f>F980*G980</f>
        <v>0</v>
      </c>
      <c r="BK980" s="50"/>
      <c r="BL980" s="50">
        <v>94</v>
      </c>
      <c r="BW980" s="50">
        <v>21</v>
      </c>
      <c r="BX980" s="3" t="s">
        <v>1561</v>
      </c>
    </row>
    <row r="981" spans="1:76" ht="14.4" x14ac:dyDescent="0.3">
      <c r="A981" s="53"/>
      <c r="C981" s="54" t="s">
        <v>1563</v>
      </c>
      <c r="D981" s="54" t="s">
        <v>4</v>
      </c>
      <c r="F981" s="55">
        <v>159.30000000000001</v>
      </c>
      <c r="K981" s="56"/>
    </row>
    <row r="982" spans="1:76" ht="14.4" x14ac:dyDescent="0.3">
      <c r="A982" s="1" t="s">
        <v>1564</v>
      </c>
      <c r="B982" s="2" t="s">
        <v>1565</v>
      </c>
      <c r="C982" s="75" t="s">
        <v>1566</v>
      </c>
      <c r="D982" s="70"/>
      <c r="E982" s="2" t="s">
        <v>216</v>
      </c>
      <c r="F982" s="50">
        <v>9558</v>
      </c>
      <c r="G982" s="50">
        <v>0</v>
      </c>
      <c r="H982" s="50">
        <f>ROUND(F982*AO982,2)</f>
        <v>0</v>
      </c>
      <c r="I982" s="50">
        <f>ROUND(F982*AP982,2)</f>
        <v>0</v>
      </c>
      <c r="J982" s="50">
        <f>ROUND(F982*G982,2)</f>
        <v>0</v>
      </c>
      <c r="K982" s="51" t="s">
        <v>116</v>
      </c>
      <c r="Z982" s="50">
        <f>ROUND(IF(AQ982="5",BJ982,0),2)</f>
        <v>0</v>
      </c>
      <c r="AB982" s="50">
        <f>ROUND(IF(AQ982="1",BH982,0),2)</f>
        <v>0</v>
      </c>
      <c r="AC982" s="50">
        <f>ROUND(IF(AQ982="1",BI982,0),2)</f>
        <v>0</v>
      </c>
      <c r="AD982" s="50">
        <f>ROUND(IF(AQ982="7",BH982,0),2)</f>
        <v>0</v>
      </c>
      <c r="AE982" s="50">
        <f>ROUND(IF(AQ982="7",BI982,0),2)</f>
        <v>0</v>
      </c>
      <c r="AF982" s="50">
        <f>ROUND(IF(AQ982="2",BH982,0),2)</f>
        <v>0</v>
      </c>
      <c r="AG982" s="50">
        <f>ROUND(IF(AQ982="2",BI982,0),2)</f>
        <v>0</v>
      </c>
      <c r="AH982" s="50">
        <f>ROUND(IF(AQ982="0",BJ982,0),2)</f>
        <v>0</v>
      </c>
      <c r="AI982" s="32" t="s">
        <v>4</v>
      </c>
      <c r="AJ982" s="50">
        <f>IF(AN982=0,J982,0)</f>
        <v>0</v>
      </c>
      <c r="AK982" s="50">
        <f>IF(AN982=12,J982,0)</f>
        <v>0</v>
      </c>
      <c r="AL982" s="50">
        <f>IF(AN982=21,J982,0)</f>
        <v>0</v>
      </c>
      <c r="AN982" s="50">
        <v>21</v>
      </c>
      <c r="AO982" s="50">
        <f>G982*0</f>
        <v>0</v>
      </c>
      <c r="AP982" s="50">
        <f>G982*(1-0)</f>
        <v>0</v>
      </c>
      <c r="AQ982" s="52" t="s">
        <v>112</v>
      </c>
      <c r="AV982" s="50">
        <f>ROUND(AW982+AX982,2)</f>
        <v>0</v>
      </c>
      <c r="AW982" s="50">
        <f>ROUND(F982*AO982,2)</f>
        <v>0</v>
      </c>
      <c r="AX982" s="50">
        <f>ROUND(F982*AP982,2)</f>
        <v>0</v>
      </c>
      <c r="AY982" s="52" t="s">
        <v>1562</v>
      </c>
      <c r="AZ982" s="52" t="s">
        <v>1535</v>
      </c>
      <c r="BA982" s="32" t="s">
        <v>119</v>
      </c>
      <c r="BC982" s="50">
        <f>AW982+AX982</f>
        <v>0</v>
      </c>
      <c r="BD982" s="50">
        <f>G982/(100-BE982)*100</f>
        <v>0</v>
      </c>
      <c r="BE982" s="50">
        <v>0</v>
      </c>
      <c r="BF982" s="50">
        <f>982</f>
        <v>982</v>
      </c>
      <c r="BH982" s="50">
        <f>F982*AO982</f>
        <v>0</v>
      </c>
      <c r="BI982" s="50">
        <f>F982*AP982</f>
        <v>0</v>
      </c>
      <c r="BJ982" s="50">
        <f>F982*G982</f>
        <v>0</v>
      </c>
      <c r="BK982" s="50"/>
      <c r="BL982" s="50">
        <v>94</v>
      </c>
      <c r="BW982" s="50">
        <v>21</v>
      </c>
      <c r="BX982" s="3" t="s">
        <v>1566</v>
      </c>
    </row>
    <row r="983" spans="1:76" ht="14.4" x14ac:dyDescent="0.3">
      <c r="A983" s="53"/>
      <c r="C983" s="54" t="s">
        <v>1567</v>
      </c>
      <c r="D983" s="54" t="s">
        <v>4</v>
      </c>
      <c r="F983" s="55">
        <v>9558</v>
      </c>
      <c r="K983" s="56"/>
    </row>
    <row r="984" spans="1:76" ht="14.4" x14ac:dyDescent="0.3">
      <c r="A984" s="1" t="s">
        <v>1568</v>
      </c>
      <c r="B984" s="2" t="s">
        <v>1569</v>
      </c>
      <c r="C984" s="75" t="s">
        <v>1570</v>
      </c>
      <c r="D984" s="70"/>
      <c r="E984" s="2" t="s">
        <v>216</v>
      </c>
      <c r="F984" s="50">
        <v>159.30000000000001</v>
      </c>
      <c r="G984" s="50">
        <v>0</v>
      </c>
      <c r="H984" s="50">
        <f>ROUND(F984*AO984,2)</f>
        <v>0</v>
      </c>
      <c r="I984" s="50">
        <f>ROUND(F984*AP984,2)</f>
        <v>0</v>
      </c>
      <c r="J984" s="50">
        <f>ROUND(F984*G984,2)</f>
        <v>0</v>
      </c>
      <c r="K984" s="51" t="s">
        <v>116</v>
      </c>
      <c r="Z984" s="50">
        <f>ROUND(IF(AQ984="5",BJ984,0),2)</f>
        <v>0</v>
      </c>
      <c r="AB984" s="50">
        <f>ROUND(IF(AQ984="1",BH984,0),2)</f>
        <v>0</v>
      </c>
      <c r="AC984" s="50">
        <f>ROUND(IF(AQ984="1",BI984,0),2)</f>
        <v>0</v>
      </c>
      <c r="AD984" s="50">
        <f>ROUND(IF(AQ984="7",BH984,0),2)</f>
        <v>0</v>
      </c>
      <c r="AE984" s="50">
        <f>ROUND(IF(AQ984="7",BI984,0),2)</f>
        <v>0</v>
      </c>
      <c r="AF984" s="50">
        <f>ROUND(IF(AQ984="2",BH984,0),2)</f>
        <v>0</v>
      </c>
      <c r="AG984" s="50">
        <f>ROUND(IF(AQ984="2",BI984,0),2)</f>
        <v>0</v>
      </c>
      <c r="AH984" s="50">
        <f>ROUND(IF(AQ984="0",BJ984,0),2)</f>
        <v>0</v>
      </c>
      <c r="AI984" s="32" t="s">
        <v>4</v>
      </c>
      <c r="AJ984" s="50">
        <f>IF(AN984=0,J984,0)</f>
        <v>0</v>
      </c>
      <c r="AK984" s="50">
        <f>IF(AN984=12,J984,0)</f>
        <v>0</v>
      </c>
      <c r="AL984" s="50">
        <f>IF(AN984=21,J984,0)</f>
        <v>0</v>
      </c>
      <c r="AN984" s="50">
        <v>21</v>
      </c>
      <c r="AO984" s="50">
        <f>G984*0</f>
        <v>0</v>
      </c>
      <c r="AP984" s="50">
        <f>G984*(1-0)</f>
        <v>0</v>
      </c>
      <c r="AQ984" s="52" t="s">
        <v>112</v>
      </c>
      <c r="AV984" s="50">
        <f>ROUND(AW984+AX984,2)</f>
        <v>0</v>
      </c>
      <c r="AW984" s="50">
        <f>ROUND(F984*AO984,2)</f>
        <v>0</v>
      </c>
      <c r="AX984" s="50">
        <f>ROUND(F984*AP984,2)</f>
        <v>0</v>
      </c>
      <c r="AY984" s="52" t="s">
        <v>1562</v>
      </c>
      <c r="AZ984" s="52" t="s">
        <v>1535</v>
      </c>
      <c r="BA984" s="32" t="s">
        <v>119</v>
      </c>
      <c r="BC984" s="50">
        <f>AW984+AX984</f>
        <v>0</v>
      </c>
      <c r="BD984" s="50">
        <f>G984/(100-BE984)*100</f>
        <v>0</v>
      </c>
      <c r="BE984" s="50">
        <v>0</v>
      </c>
      <c r="BF984" s="50">
        <f>984</f>
        <v>984</v>
      </c>
      <c r="BH984" s="50">
        <f>F984*AO984</f>
        <v>0</v>
      </c>
      <c r="BI984" s="50">
        <f>F984*AP984</f>
        <v>0</v>
      </c>
      <c r="BJ984" s="50">
        <f>F984*G984</f>
        <v>0</v>
      </c>
      <c r="BK984" s="50"/>
      <c r="BL984" s="50">
        <v>94</v>
      </c>
      <c r="BW984" s="50">
        <v>21</v>
      </c>
      <c r="BX984" s="3" t="s">
        <v>1570</v>
      </c>
    </row>
    <row r="985" spans="1:76" ht="14.4" x14ac:dyDescent="0.3">
      <c r="A985" s="53"/>
      <c r="C985" s="54" t="s">
        <v>1571</v>
      </c>
      <c r="D985" s="54" t="s">
        <v>4</v>
      </c>
      <c r="F985" s="55">
        <v>159.30000000000001</v>
      </c>
      <c r="K985" s="56"/>
    </row>
    <row r="986" spans="1:76" ht="14.4" x14ac:dyDescent="0.3">
      <c r="A986" s="1" t="s">
        <v>1572</v>
      </c>
      <c r="B986" s="2" t="s">
        <v>1573</v>
      </c>
      <c r="C986" s="75" t="s">
        <v>1574</v>
      </c>
      <c r="D986" s="70"/>
      <c r="E986" s="2" t="s">
        <v>1575</v>
      </c>
      <c r="F986" s="50">
        <v>30</v>
      </c>
      <c r="G986" s="50">
        <v>0</v>
      </c>
      <c r="H986" s="50">
        <f>ROUND(F986*AO986,2)</f>
        <v>0</v>
      </c>
      <c r="I986" s="50">
        <f>ROUND(F986*AP986,2)</f>
        <v>0</v>
      </c>
      <c r="J986" s="50">
        <f>ROUND(F986*G986,2)</f>
        <v>0</v>
      </c>
      <c r="K986" s="51" t="s">
        <v>116</v>
      </c>
      <c r="Z986" s="50">
        <f>ROUND(IF(AQ986="5",BJ986,0),2)</f>
        <v>0</v>
      </c>
      <c r="AB986" s="50">
        <f>ROUND(IF(AQ986="1",BH986,0),2)</f>
        <v>0</v>
      </c>
      <c r="AC986" s="50">
        <f>ROUND(IF(AQ986="1",BI986,0),2)</f>
        <v>0</v>
      </c>
      <c r="AD986" s="50">
        <f>ROUND(IF(AQ986="7",BH986,0),2)</f>
        <v>0</v>
      </c>
      <c r="AE986" s="50">
        <f>ROUND(IF(AQ986="7",BI986,0),2)</f>
        <v>0</v>
      </c>
      <c r="AF986" s="50">
        <f>ROUND(IF(AQ986="2",BH986,0),2)</f>
        <v>0</v>
      </c>
      <c r="AG986" s="50">
        <f>ROUND(IF(AQ986="2",BI986,0),2)</f>
        <v>0</v>
      </c>
      <c r="AH986" s="50">
        <f>ROUND(IF(AQ986="0",BJ986,0),2)</f>
        <v>0</v>
      </c>
      <c r="AI986" s="32" t="s">
        <v>4</v>
      </c>
      <c r="AJ986" s="50">
        <f>IF(AN986=0,J986,0)</f>
        <v>0</v>
      </c>
      <c r="AK986" s="50">
        <f>IF(AN986=12,J986,0)</f>
        <v>0</v>
      </c>
      <c r="AL986" s="50">
        <f>IF(AN986=21,J986,0)</f>
        <v>0</v>
      </c>
      <c r="AN986" s="50">
        <v>21</v>
      </c>
      <c r="AO986" s="50">
        <f>G986*0</f>
        <v>0</v>
      </c>
      <c r="AP986" s="50">
        <f>G986*(1-0)</f>
        <v>0</v>
      </c>
      <c r="AQ986" s="52" t="s">
        <v>112</v>
      </c>
      <c r="AV986" s="50">
        <f>ROUND(AW986+AX986,2)</f>
        <v>0</v>
      </c>
      <c r="AW986" s="50">
        <f>ROUND(F986*AO986,2)</f>
        <v>0</v>
      </c>
      <c r="AX986" s="50">
        <f>ROUND(F986*AP986,2)</f>
        <v>0</v>
      </c>
      <c r="AY986" s="52" t="s">
        <v>1562</v>
      </c>
      <c r="AZ986" s="52" t="s">
        <v>1535</v>
      </c>
      <c r="BA986" s="32" t="s">
        <v>119</v>
      </c>
      <c r="BC986" s="50">
        <f>AW986+AX986</f>
        <v>0</v>
      </c>
      <c r="BD986" s="50">
        <f>G986/(100-BE986)*100</f>
        <v>0</v>
      </c>
      <c r="BE986" s="50">
        <v>0</v>
      </c>
      <c r="BF986" s="50">
        <f>986</f>
        <v>986</v>
      </c>
      <c r="BH986" s="50">
        <f>F986*AO986</f>
        <v>0</v>
      </c>
      <c r="BI986" s="50">
        <f>F986*AP986</f>
        <v>0</v>
      </c>
      <c r="BJ986" s="50">
        <f>F986*G986</f>
        <v>0</v>
      </c>
      <c r="BK986" s="50"/>
      <c r="BL986" s="50">
        <v>94</v>
      </c>
      <c r="BW986" s="50">
        <v>21</v>
      </c>
      <c r="BX986" s="3" t="s">
        <v>1574</v>
      </c>
    </row>
    <row r="987" spans="1:76" ht="14.4" x14ac:dyDescent="0.3">
      <c r="A987" s="53"/>
      <c r="C987" s="54" t="s">
        <v>280</v>
      </c>
      <c r="D987" s="54" t="s">
        <v>4</v>
      </c>
      <c r="F987" s="55">
        <v>30</v>
      </c>
      <c r="K987" s="56"/>
    </row>
    <row r="988" spans="1:76" ht="14.4" x14ac:dyDescent="0.3">
      <c r="A988" s="46" t="s">
        <v>4</v>
      </c>
      <c r="B988" s="47" t="s">
        <v>584</v>
      </c>
      <c r="C988" s="148" t="s">
        <v>1576</v>
      </c>
      <c r="D988" s="149"/>
      <c r="E988" s="48" t="s">
        <v>74</v>
      </c>
      <c r="F988" s="48" t="s">
        <v>74</v>
      </c>
      <c r="G988" s="48" t="s">
        <v>74</v>
      </c>
      <c r="H988" s="26">
        <f>SUM(H989:H991)</f>
        <v>0</v>
      </c>
      <c r="I988" s="26">
        <f>SUM(I989:I991)</f>
        <v>0</v>
      </c>
      <c r="J988" s="26">
        <f>SUM(J989:J991)</f>
        <v>0</v>
      </c>
      <c r="K988" s="49" t="s">
        <v>4</v>
      </c>
      <c r="AI988" s="32" t="s">
        <v>4</v>
      </c>
      <c r="AS988" s="26">
        <f>SUM(AJ989:AJ991)</f>
        <v>0</v>
      </c>
      <c r="AT988" s="26">
        <f>SUM(AK989:AK991)</f>
        <v>0</v>
      </c>
      <c r="AU988" s="26">
        <f>SUM(AL989:AL991)</f>
        <v>0</v>
      </c>
    </row>
    <row r="989" spans="1:76" ht="14.4" x14ac:dyDescent="0.3">
      <c r="A989" s="1" t="s">
        <v>1577</v>
      </c>
      <c r="B989" s="2" t="s">
        <v>1578</v>
      </c>
      <c r="C989" s="75" t="s">
        <v>1579</v>
      </c>
      <c r="D989" s="70"/>
      <c r="E989" s="2" t="s">
        <v>216</v>
      </c>
      <c r="F989" s="50">
        <v>160.03</v>
      </c>
      <c r="G989" s="50">
        <v>0</v>
      </c>
      <c r="H989" s="50">
        <f>ROUND(F989*AO989,2)</f>
        <v>0</v>
      </c>
      <c r="I989" s="50">
        <f>ROUND(F989*AP989,2)</f>
        <v>0</v>
      </c>
      <c r="J989" s="50">
        <f>ROUND(F989*G989,2)</f>
        <v>0</v>
      </c>
      <c r="K989" s="51" t="s">
        <v>116</v>
      </c>
      <c r="Z989" s="50">
        <f>ROUND(IF(AQ989="5",BJ989,0),2)</f>
        <v>0</v>
      </c>
      <c r="AB989" s="50">
        <f>ROUND(IF(AQ989="1",BH989,0),2)</f>
        <v>0</v>
      </c>
      <c r="AC989" s="50">
        <f>ROUND(IF(AQ989="1",BI989,0),2)</f>
        <v>0</v>
      </c>
      <c r="AD989" s="50">
        <f>ROUND(IF(AQ989="7",BH989,0),2)</f>
        <v>0</v>
      </c>
      <c r="AE989" s="50">
        <f>ROUND(IF(AQ989="7",BI989,0),2)</f>
        <v>0</v>
      </c>
      <c r="AF989" s="50">
        <f>ROUND(IF(AQ989="2",BH989,0),2)</f>
        <v>0</v>
      </c>
      <c r="AG989" s="50">
        <f>ROUND(IF(AQ989="2",BI989,0),2)</f>
        <v>0</v>
      </c>
      <c r="AH989" s="50">
        <f>ROUND(IF(AQ989="0",BJ989,0),2)</f>
        <v>0</v>
      </c>
      <c r="AI989" s="32" t="s">
        <v>4</v>
      </c>
      <c r="AJ989" s="50">
        <f>IF(AN989=0,J989,0)</f>
        <v>0</v>
      </c>
      <c r="AK989" s="50">
        <f>IF(AN989=12,J989,0)</f>
        <v>0</v>
      </c>
      <c r="AL989" s="50">
        <f>IF(AN989=21,J989,0)</f>
        <v>0</v>
      </c>
      <c r="AN989" s="50">
        <v>21</v>
      </c>
      <c r="AO989" s="50">
        <f>G989*0.014522357</f>
        <v>0</v>
      </c>
      <c r="AP989" s="50">
        <f>G989*(1-0.014522357)</f>
        <v>0</v>
      </c>
      <c r="AQ989" s="52" t="s">
        <v>112</v>
      </c>
      <c r="AV989" s="50">
        <f>ROUND(AW989+AX989,2)</f>
        <v>0</v>
      </c>
      <c r="AW989" s="50">
        <f>ROUND(F989*AO989,2)</f>
        <v>0</v>
      </c>
      <c r="AX989" s="50">
        <f>ROUND(F989*AP989,2)</f>
        <v>0</v>
      </c>
      <c r="AY989" s="52" t="s">
        <v>1580</v>
      </c>
      <c r="AZ989" s="52" t="s">
        <v>1535</v>
      </c>
      <c r="BA989" s="32" t="s">
        <v>119</v>
      </c>
      <c r="BC989" s="50">
        <f>AW989+AX989</f>
        <v>0</v>
      </c>
      <c r="BD989" s="50">
        <f>G989/(100-BE989)*100</f>
        <v>0</v>
      </c>
      <c r="BE989" s="50">
        <v>0</v>
      </c>
      <c r="BF989" s="50">
        <f>989</f>
        <v>989</v>
      </c>
      <c r="BH989" s="50">
        <f>F989*AO989</f>
        <v>0</v>
      </c>
      <c r="BI989" s="50">
        <f>F989*AP989</f>
        <v>0</v>
      </c>
      <c r="BJ989" s="50">
        <f>F989*G989</f>
        <v>0</v>
      </c>
      <c r="BK989" s="50"/>
      <c r="BL989" s="50">
        <v>95</v>
      </c>
      <c r="BW989" s="50">
        <v>21</v>
      </c>
      <c r="BX989" s="3" t="s">
        <v>1579</v>
      </c>
    </row>
    <row r="990" spans="1:76" ht="14.4" x14ac:dyDescent="0.3">
      <c r="A990" s="53"/>
      <c r="C990" s="54" t="s">
        <v>1581</v>
      </c>
      <c r="D990" s="54" t="s">
        <v>4</v>
      </c>
      <c r="F990" s="55">
        <v>160.03</v>
      </c>
      <c r="K990" s="56"/>
    </row>
    <row r="991" spans="1:76" ht="14.4" x14ac:dyDescent="0.3">
      <c r="A991" s="1" t="s">
        <v>1582</v>
      </c>
      <c r="B991" s="2" t="s">
        <v>1583</v>
      </c>
      <c r="C991" s="75" t="s">
        <v>1584</v>
      </c>
      <c r="D991" s="70"/>
      <c r="E991" s="2" t="s">
        <v>216</v>
      </c>
      <c r="F991" s="50">
        <v>49.435250000000003</v>
      </c>
      <c r="G991" s="50">
        <v>0</v>
      </c>
      <c r="H991" s="50">
        <f>ROUND(F991*AO991,2)</f>
        <v>0</v>
      </c>
      <c r="I991" s="50">
        <f>ROUND(F991*AP991,2)</f>
        <v>0</v>
      </c>
      <c r="J991" s="50">
        <f>ROUND(F991*G991,2)</f>
        <v>0</v>
      </c>
      <c r="K991" s="51" t="s">
        <v>116</v>
      </c>
      <c r="Z991" s="50">
        <f>ROUND(IF(AQ991="5",BJ991,0),2)</f>
        <v>0</v>
      </c>
      <c r="AB991" s="50">
        <f>ROUND(IF(AQ991="1",BH991,0),2)</f>
        <v>0</v>
      </c>
      <c r="AC991" s="50">
        <f>ROUND(IF(AQ991="1",BI991,0),2)</f>
        <v>0</v>
      </c>
      <c r="AD991" s="50">
        <f>ROUND(IF(AQ991="7",BH991,0),2)</f>
        <v>0</v>
      </c>
      <c r="AE991" s="50">
        <f>ROUND(IF(AQ991="7",BI991,0),2)</f>
        <v>0</v>
      </c>
      <c r="AF991" s="50">
        <f>ROUND(IF(AQ991="2",BH991,0),2)</f>
        <v>0</v>
      </c>
      <c r="AG991" s="50">
        <f>ROUND(IF(AQ991="2",BI991,0),2)</f>
        <v>0</v>
      </c>
      <c r="AH991" s="50">
        <f>ROUND(IF(AQ991="0",BJ991,0),2)</f>
        <v>0</v>
      </c>
      <c r="AI991" s="32" t="s">
        <v>4</v>
      </c>
      <c r="AJ991" s="50">
        <f>IF(AN991=0,J991,0)</f>
        <v>0</v>
      </c>
      <c r="AK991" s="50">
        <f>IF(AN991=12,J991,0)</f>
        <v>0</v>
      </c>
      <c r="AL991" s="50">
        <f>IF(AN991=21,J991,0)</f>
        <v>0</v>
      </c>
      <c r="AN991" s="50">
        <v>21</v>
      </c>
      <c r="AO991" s="50">
        <f>G991*0.019970295</f>
        <v>0</v>
      </c>
      <c r="AP991" s="50">
        <f>G991*(1-0.019970295)</f>
        <v>0</v>
      </c>
      <c r="AQ991" s="52" t="s">
        <v>112</v>
      </c>
      <c r="AV991" s="50">
        <f>ROUND(AW991+AX991,2)</f>
        <v>0</v>
      </c>
      <c r="AW991" s="50">
        <f>ROUND(F991*AO991,2)</f>
        <v>0</v>
      </c>
      <c r="AX991" s="50">
        <f>ROUND(F991*AP991,2)</f>
        <v>0</v>
      </c>
      <c r="AY991" s="52" t="s">
        <v>1580</v>
      </c>
      <c r="AZ991" s="52" t="s">
        <v>1535</v>
      </c>
      <c r="BA991" s="32" t="s">
        <v>119</v>
      </c>
      <c r="BC991" s="50">
        <f>AW991+AX991</f>
        <v>0</v>
      </c>
      <c r="BD991" s="50">
        <f>G991/(100-BE991)*100</f>
        <v>0</v>
      </c>
      <c r="BE991" s="50">
        <v>0</v>
      </c>
      <c r="BF991" s="50">
        <f>991</f>
        <v>991</v>
      </c>
      <c r="BH991" s="50">
        <f>F991*AO991</f>
        <v>0</v>
      </c>
      <c r="BI991" s="50">
        <f>F991*AP991</f>
        <v>0</v>
      </c>
      <c r="BJ991" s="50">
        <f>F991*G991</f>
        <v>0</v>
      </c>
      <c r="BK991" s="50"/>
      <c r="BL991" s="50">
        <v>95</v>
      </c>
      <c r="BW991" s="50">
        <v>21</v>
      </c>
      <c r="BX991" s="3" t="s">
        <v>1584</v>
      </c>
    </row>
    <row r="992" spans="1:76" ht="14.4" x14ac:dyDescent="0.3">
      <c r="A992" s="53"/>
      <c r="C992" s="54" t="s">
        <v>1342</v>
      </c>
      <c r="D992" s="54" t="s">
        <v>4</v>
      </c>
      <c r="F992" s="55">
        <v>11.275</v>
      </c>
      <c r="K992" s="56"/>
    </row>
    <row r="993" spans="1:76" ht="14.4" x14ac:dyDescent="0.3">
      <c r="A993" s="53"/>
      <c r="C993" s="54" t="s">
        <v>1343</v>
      </c>
      <c r="D993" s="54" t="s">
        <v>4</v>
      </c>
      <c r="F993" s="55">
        <v>11.6875</v>
      </c>
      <c r="K993" s="56"/>
    </row>
    <row r="994" spans="1:76" ht="14.4" x14ac:dyDescent="0.3">
      <c r="A994" s="53"/>
      <c r="C994" s="54" t="s">
        <v>1344</v>
      </c>
      <c r="D994" s="54" t="s">
        <v>4</v>
      </c>
      <c r="F994" s="55">
        <v>4.2625000000000002</v>
      </c>
      <c r="K994" s="56"/>
    </row>
    <row r="995" spans="1:76" ht="14.4" x14ac:dyDescent="0.3">
      <c r="A995" s="53"/>
      <c r="C995" s="54" t="s">
        <v>1336</v>
      </c>
      <c r="D995" s="54" t="s">
        <v>4</v>
      </c>
      <c r="F995" s="55">
        <v>8.3874999999999993</v>
      </c>
      <c r="K995" s="56"/>
    </row>
    <row r="996" spans="1:76" ht="14.4" x14ac:dyDescent="0.3">
      <c r="A996" s="53"/>
      <c r="C996" s="54" t="s">
        <v>1337</v>
      </c>
      <c r="D996" s="54" t="s">
        <v>4</v>
      </c>
      <c r="F996" s="55">
        <v>7.15</v>
      </c>
      <c r="K996" s="56"/>
    </row>
    <row r="997" spans="1:76" ht="14.4" x14ac:dyDescent="0.3">
      <c r="A997" s="53"/>
      <c r="C997" s="54" t="s">
        <v>1338</v>
      </c>
      <c r="D997" s="54" t="s">
        <v>4</v>
      </c>
      <c r="F997" s="55">
        <v>6.6727499999999997</v>
      </c>
      <c r="K997" s="56"/>
    </row>
    <row r="998" spans="1:76" ht="14.4" x14ac:dyDescent="0.3">
      <c r="A998" s="46" t="s">
        <v>4</v>
      </c>
      <c r="B998" s="47" t="s">
        <v>1585</v>
      </c>
      <c r="C998" s="148" t="s">
        <v>1586</v>
      </c>
      <c r="D998" s="149"/>
      <c r="E998" s="48" t="s">
        <v>74</v>
      </c>
      <c r="F998" s="48" t="s">
        <v>74</v>
      </c>
      <c r="G998" s="48" t="s">
        <v>74</v>
      </c>
      <c r="H998" s="26">
        <f>SUM(H999:H999)</f>
        <v>0</v>
      </c>
      <c r="I998" s="26">
        <f>SUM(I999:I999)</f>
        <v>0</v>
      </c>
      <c r="J998" s="26">
        <f>SUM(J999:J999)</f>
        <v>0</v>
      </c>
      <c r="K998" s="49" t="s">
        <v>4</v>
      </c>
      <c r="AI998" s="32" t="s">
        <v>4</v>
      </c>
      <c r="AS998" s="26">
        <f>SUM(AJ999:AJ999)</f>
        <v>0</v>
      </c>
      <c r="AT998" s="26">
        <f>SUM(AK999:AK999)</f>
        <v>0</v>
      </c>
      <c r="AU998" s="26">
        <f>SUM(AL999:AL999)</f>
        <v>0</v>
      </c>
    </row>
    <row r="999" spans="1:76" ht="14.4" x14ac:dyDescent="0.3">
      <c r="A999" s="1" t="s">
        <v>1587</v>
      </c>
      <c r="B999" s="2" t="s">
        <v>1588</v>
      </c>
      <c r="C999" s="75" t="s">
        <v>1589</v>
      </c>
      <c r="D999" s="70"/>
      <c r="E999" s="2" t="s">
        <v>173</v>
      </c>
      <c r="F999" s="50">
        <v>490.91376000000002</v>
      </c>
      <c r="G999" s="50">
        <v>0</v>
      </c>
      <c r="H999" s="50">
        <f>ROUND(F999*AO999,2)</f>
        <v>0</v>
      </c>
      <c r="I999" s="50">
        <f>ROUND(F999*AP999,2)</f>
        <v>0</v>
      </c>
      <c r="J999" s="50">
        <f>ROUND(F999*G999,2)</f>
        <v>0</v>
      </c>
      <c r="K999" s="51" t="s">
        <v>116</v>
      </c>
      <c r="Z999" s="50">
        <f>ROUND(IF(AQ999="5",BJ999,0),2)</f>
        <v>0</v>
      </c>
      <c r="AB999" s="50">
        <f>ROUND(IF(AQ999="1",BH999,0),2)</f>
        <v>0</v>
      </c>
      <c r="AC999" s="50">
        <f>ROUND(IF(AQ999="1",BI999,0),2)</f>
        <v>0</v>
      </c>
      <c r="AD999" s="50">
        <f>ROUND(IF(AQ999="7",BH999,0),2)</f>
        <v>0</v>
      </c>
      <c r="AE999" s="50">
        <f>ROUND(IF(AQ999="7",BI999,0),2)</f>
        <v>0</v>
      </c>
      <c r="AF999" s="50">
        <f>ROUND(IF(AQ999="2",BH999,0),2)</f>
        <v>0</v>
      </c>
      <c r="AG999" s="50">
        <f>ROUND(IF(AQ999="2",BI999,0),2)</f>
        <v>0</v>
      </c>
      <c r="AH999" s="50">
        <f>ROUND(IF(AQ999="0",BJ999,0),2)</f>
        <v>0</v>
      </c>
      <c r="AI999" s="32" t="s">
        <v>4</v>
      </c>
      <c r="AJ999" s="50">
        <f>IF(AN999=0,J999,0)</f>
        <v>0</v>
      </c>
      <c r="AK999" s="50">
        <f>IF(AN999=12,J999,0)</f>
        <v>0</v>
      </c>
      <c r="AL999" s="50">
        <f>IF(AN999=21,J999,0)</f>
        <v>0</v>
      </c>
      <c r="AN999" s="50">
        <v>21</v>
      </c>
      <c r="AO999" s="50">
        <f>G999*0</f>
        <v>0</v>
      </c>
      <c r="AP999" s="50">
        <f>G999*(1-0)</f>
        <v>0</v>
      </c>
      <c r="AQ999" s="52" t="s">
        <v>147</v>
      </c>
      <c r="AV999" s="50">
        <f>ROUND(AW999+AX999,2)</f>
        <v>0</v>
      </c>
      <c r="AW999" s="50">
        <f>ROUND(F999*AO999,2)</f>
        <v>0</v>
      </c>
      <c r="AX999" s="50">
        <f>ROUND(F999*AP999,2)</f>
        <v>0</v>
      </c>
      <c r="AY999" s="52" t="s">
        <v>1590</v>
      </c>
      <c r="AZ999" s="52" t="s">
        <v>1535</v>
      </c>
      <c r="BA999" s="32" t="s">
        <v>119</v>
      </c>
      <c r="BC999" s="50">
        <f>AW999+AX999</f>
        <v>0</v>
      </c>
      <c r="BD999" s="50">
        <f>G999/(100-BE999)*100</f>
        <v>0</v>
      </c>
      <c r="BE999" s="50">
        <v>0</v>
      </c>
      <c r="BF999" s="50">
        <f>999</f>
        <v>999</v>
      </c>
      <c r="BH999" s="50">
        <f>F999*AO999</f>
        <v>0</v>
      </c>
      <c r="BI999" s="50">
        <f>F999*AP999</f>
        <v>0</v>
      </c>
      <c r="BJ999" s="50">
        <f>F999*G999</f>
        <v>0</v>
      </c>
      <c r="BK999" s="50"/>
      <c r="BL999" s="50"/>
      <c r="BW999" s="50">
        <v>21</v>
      </c>
      <c r="BX999" s="3" t="s">
        <v>1589</v>
      </c>
    </row>
    <row r="1000" spans="1:76" ht="14.4" x14ac:dyDescent="0.3">
      <c r="A1000" s="53"/>
      <c r="C1000" s="54" t="s">
        <v>1591</v>
      </c>
      <c r="D1000" s="54" t="s">
        <v>4</v>
      </c>
      <c r="F1000" s="55">
        <v>490.91376000000002</v>
      </c>
      <c r="K1000" s="56"/>
    </row>
    <row r="1001" spans="1:76" ht="14.4" x14ac:dyDescent="0.3">
      <c r="A1001" s="46" t="s">
        <v>4</v>
      </c>
      <c r="B1001" s="47" t="s">
        <v>1592</v>
      </c>
      <c r="C1001" s="148" t="s">
        <v>1593</v>
      </c>
      <c r="D1001" s="149"/>
      <c r="E1001" s="48" t="s">
        <v>74</v>
      </c>
      <c r="F1001" s="48" t="s">
        <v>74</v>
      </c>
      <c r="G1001" s="48" t="s">
        <v>74</v>
      </c>
      <c r="H1001" s="26">
        <f>SUM(H1002:H1050)</f>
        <v>0</v>
      </c>
      <c r="I1001" s="26">
        <f>SUM(I1002:I1050)</f>
        <v>0</v>
      </c>
      <c r="J1001" s="26">
        <f>SUM(J1002:J1050)</f>
        <v>0</v>
      </c>
      <c r="K1001" s="49" t="s">
        <v>4</v>
      </c>
      <c r="AI1001" s="32" t="s">
        <v>4</v>
      </c>
      <c r="AS1001" s="26">
        <f>SUM(AJ1002:AJ1050)</f>
        <v>0</v>
      </c>
      <c r="AT1001" s="26">
        <f>SUM(AK1002:AK1050)</f>
        <v>0</v>
      </c>
      <c r="AU1001" s="26">
        <f>SUM(AL1002:AL1050)</f>
        <v>0</v>
      </c>
    </row>
    <row r="1002" spans="1:76" ht="14.4" x14ac:dyDescent="0.3">
      <c r="A1002" s="1" t="s">
        <v>1594</v>
      </c>
      <c r="B1002" s="2" t="s">
        <v>1595</v>
      </c>
      <c r="C1002" s="75" t="s">
        <v>1596</v>
      </c>
      <c r="D1002" s="70"/>
      <c r="E1002" s="2" t="s">
        <v>278</v>
      </c>
      <c r="F1002" s="50">
        <v>2</v>
      </c>
      <c r="G1002" s="50">
        <v>0</v>
      </c>
      <c r="H1002" s="50">
        <f>ROUND(F1002*AO1002,2)</f>
        <v>0</v>
      </c>
      <c r="I1002" s="50">
        <f>ROUND(F1002*AP1002,2)</f>
        <v>0</v>
      </c>
      <c r="J1002" s="50">
        <f>ROUND(F1002*G1002,2)</f>
        <v>0</v>
      </c>
      <c r="K1002" s="51" t="s">
        <v>116</v>
      </c>
      <c r="Z1002" s="50">
        <f>ROUND(IF(AQ1002="5",BJ1002,0),2)</f>
        <v>0</v>
      </c>
      <c r="AB1002" s="50">
        <f>ROUND(IF(AQ1002="1",BH1002,0),2)</f>
        <v>0</v>
      </c>
      <c r="AC1002" s="50">
        <f>ROUND(IF(AQ1002="1",BI1002,0),2)</f>
        <v>0</v>
      </c>
      <c r="AD1002" s="50">
        <f>ROUND(IF(AQ1002="7",BH1002,0),2)</f>
        <v>0</v>
      </c>
      <c r="AE1002" s="50">
        <f>ROUND(IF(AQ1002="7",BI1002,0),2)</f>
        <v>0</v>
      </c>
      <c r="AF1002" s="50">
        <f>ROUND(IF(AQ1002="2",BH1002,0),2)</f>
        <v>0</v>
      </c>
      <c r="AG1002" s="50">
        <f>ROUND(IF(AQ1002="2",BI1002,0),2)</f>
        <v>0</v>
      </c>
      <c r="AH1002" s="50">
        <f>ROUND(IF(AQ1002="0",BJ1002,0),2)</f>
        <v>0</v>
      </c>
      <c r="AI1002" s="32" t="s">
        <v>4</v>
      </c>
      <c r="AJ1002" s="50">
        <f>IF(AN1002=0,J1002,0)</f>
        <v>0</v>
      </c>
      <c r="AK1002" s="50">
        <f>IF(AN1002=12,J1002,0)</f>
        <v>0</v>
      </c>
      <c r="AL1002" s="50">
        <f>IF(AN1002=21,J1002,0)</f>
        <v>0</v>
      </c>
      <c r="AN1002" s="50">
        <v>21</v>
      </c>
      <c r="AO1002" s="50">
        <f>G1002*0</f>
        <v>0</v>
      </c>
      <c r="AP1002" s="50">
        <f>G1002*(1-0)</f>
        <v>0</v>
      </c>
      <c r="AQ1002" s="52" t="s">
        <v>132</v>
      </c>
      <c r="AV1002" s="50">
        <f>ROUND(AW1002+AX1002,2)</f>
        <v>0</v>
      </c>
      <c r="AW1002" s="50">
        <f>ROUND(F1002*AO1002,2)</f>
        <v>0</v>
      </c>
      <c r="AX1002" s="50">
        <f>ROUND(F1002*AP1002,2)</f>
        <v>0</v>
      </c>
      <c r="AY1002" s="52" t="s">
        <v>1597</v>
      </c>
      <c r="AZ1002" s="52" t="s">
        <v>1535</v>
      </c>
      <c r="BA1002" s="32" t="s">
        <v>119</v>
      </c>
      <c r="BC1002" s="50">
        <f>AW1002+AX1002</f>
        <v>0</v>
      </c>
      <c r="BD1002" s="50">
        <f>G1002/(100-BE1002)*100</f>
        <v>0</v>
      </c>
      <c r="BE1002" s="50">
        <v>0</v>
      </c>
      <c r="BF1002" s="50">
        <f>1002</f>
        <v>1002</v>
      </c>
      <c r="BH1002" s="50">
        <f>F1002*AO1002</f>
        <v>0</v>
      </c>
      <c r="BI1002" s="50">
        <f>F1002*AP1002</f>
        <v>0</v>
      </c>
      <c r="BJ1002" s="50">
        <f>F1002*G1002</f>
        <v>0</v>
      </c>
      <c r="BK1002" s="50"/>
      <c r="BL1002" s="50"/>
      <c r="BW1002" s="50">
        <v>21</v>
      </c>
      <c r="BX1002" s="3" t="s">
        <v>1596</v>
      </c>
    </row>
    <row r="1003" spans="1:76" ht="14.4" x14ac:dyDescent="0.3">
      <c r="A1003" s="53"/>
      <c r="C1003" s="54" t="s">
        <v>112</v>
      </c>
      <c r="D1003" s="54" t="s">
        <v>1598</v>
      </c>
      <c r="F1003" s="55">
        <v>1</v>
      </c>
      <c r="K1003" s="56"/>
    </row>
    <row r="1004" spans="1:76" ht="14.4" x14ac:dyDescent="0.3">
      <c r="A1004" s="53"/>
      <c r="C1004" s="54" t="s">
        <v>112</v>
      </c>
      <c r="D1004" s="54" t="s">
        <v>1599</v>
      </c>
      <c r="F1004" s="55">
        <v>1</v>
      </c>
      <c r="K1004" s="56"/>
    </row>
    <row r="1005" spans="1:76" ht="14.4" x14ac:dyDescent="0.3">
      <c r="A1005" s="1" t="s">
        <v>1600</v>
      </c>
      <c r="B1005" s="2" t="s">
        <v>1601</v>
      </c>
      <c r="C1005" s="75" t="s">
        <v>1602</v>
      </c>
      <c r="D1005" s="70"/>
      <c r="E1005" s="2" t="s">
        <v>278</v>
      </c>
      <c r="F1005" s="50">
        <v>2</v>
      </c>
      <c r="G1005" s="50">
        <v>0</v>
      </c>
      <c r="H1005" s="50">
        <f>ROUND(F1005*AO1005,2)</f>
        <v>0</v>
      </c>
      <c r="I1005" s="50">
        <f>ROUND(F1005*AP1005,2)</f>
        <v>0</v>
      </c>
      <c r="J1005" s="50">
        <f>ROUND(F1005*G1005,2)</f>
        <v>0</v>
      </c>
      <c r="K1005" s="51" t="s">
        <v>116</v>
      </c>
      <c r="Z1005" s="50">
        <f>ROUND(IF(AQ1005="5",BJ1005,0),2)</f>
        <v>0</v>
      </c>
      <c r="AB1005" s="50">
        <f>ROUND(IF(AQ1005="1",BH1005,0),2)</f>
        <v>0</v>
      </c>
      <c r="AC1005" s="50">
        <f>ROUND(IF(AQ1005="1",BI1005,0),2)</f>
        <v>0</v>
      </c>
      <c r="AD1005" s="50">
        <f>ROUND(IF(AQ1005="7",BH1005,0),2)</f>
        <v>0</v>
      </c>
      <c r="AE1005" s="50">
        <f>ROUND(IF(AQ1005="7",BI1005,0),2)</f>
        <v>0</v>
      </c>
      <c r="AF1005" s="50">
        <f>ROUND(IF(AQ1005="2",BH1005,0),2)</f>
        <v>0</v>
      </c>
      <c r="AG1005" s="50">
        <f>ROUND(IF(AQ1005="2",BI1005,0),2)</f>
        <v>0</v>
      </c>
      <c r="AH1005" s="50">
        <f>ROUND(IF(AQ1005="0",BJ1005,0),2)</f>
        <v>0</v>
      </c>
      <c r="AI1005" s="32" t="s">
        <v>4</v>
      </c>
      <c r="AJ1005" s="50">
        <f>IF(AN1005=0,J1005,0)</f>
        <v>0</v>
      </c>
      <c r="AK1005" s="50">
        <f>IF(AN1005=12,J1005,0)</f>
        <v>0</v>
      </c>
      <c r="AL1005" s="50">
        <f>IF(AN1005=21,J1005,0)</f>
        <v>0</v>
      </c>
      <c r="AN1005" s="50">
        <v>21</v>
      </c>
      <c r="AO1005" s="50">
        <f>G1005*1</f>
        <v>0</v>
      </c>
      <c r="AP1005" s="50">
        <f>G1005*(1-1)</f>
        <v>0</v>
      </c>
      <c r="AQ1005" s="52" t="s">
        <v>132</v>
      </c>
      <c r="AV1005" s="50">
        <f>ROUND(AW1005+AX1005,2)</f>
        <v>0</v>
      </c>
      <c r="AW1005" s="50">
        <f>ROUND(F1005*AO1005,2)</f>
        <v>0</v>
      </c>
      <c r="AX1005" s="50">
        <f>ROUND(F1005*AP1005,2)</f>
        <v>0</v>
      </c>
      <c r="AY1005" s="52" t="s">
        <v>1597</v>
      </c>
      <c r="AZ1005" s="52" t="s">
        <v>1535</v>
      </c>
      <c r="BA1005" s="32" t="s">
        <v>119</v>
      </c>
      <c r="BC1005" s="50">
        <f>AW1005+AX1005</f>
        <v>0</v>
      </c>
      <c r="BD1005" s="50">
        <f>G1005/(100-BE1005)*100</f>
        <v>0</v>
      </c>
      <c r="BE1005" s="50">
        <v>0</v>
      </c>
      <c r="BF1005" s="50">
        <f>1005</f>
        <v>1005</v>
      </c>
      <c r="BH1005" s="50">
        <f>F1005*AO1005</f>
        <v>0</v>
      </c>
      <c r="BI1005" s="50">
        <f>F1005*AP1005</f>
        <v>0</v>
      </c>
      <c r="BJ1005" s="50">
        <f>F1005*G1005</f>
        <v>0</v>
      </c>
      <c r="BK1005" s="50"/>
      <c r="BL1005" s="50"/>
      <c r="BW1005" s="50">
        <v>21</v>
      </c>
      <c r="BX1005" s="3" t="s">
        <v>1602</v>
      </c>
    </row>
    <row r="1006" spans="1:76" ht="14.4" x14ac:dyDescent="0.3">
      <c r="A1006" s="53"/>
      <c r="C1006" s="54" t="s">
        <v>132</v>
      </c>
      <c r="D1006" s="54" t="s">
        <v>4</v>
      </c>
      <c r="F1006" s="55">
        <v>2</v>
      </c>
      <c r="K1006" s="56"/>
    </row>
    <row r="1007" spans="1:76" ht="14.4" x14ac:dyDescent="0.3">
      <c r="A1007" s="1" t="s">
        <v>1603</v>
      </c>
      <c r="B1007" s="2" t="s">
        <v>1604</v>
      </c>
      <c r="C1007" s="75" t="s">
        <v>1605</v>
      </c>
      <c r="D1007" s="70"/>
      <c r="E1007" s="2" t="s">
        <v>278</v>
      </c>
      <c r="F1007" s="50">
        <v>55</v>
      </c>
      <c r="G1007" s="50">
        <v>0</v>
      </c>
      <c r="H1007" s="50">
        <f>ROUND(F1007*AO1007,2)</f>
        <v>0</v>
      </c>
      <c r="I1007" s="50">
        <f>ROUND(F1007*AP1007,2)</f>
        <v>0</v>
      </c>
      <c r="J1007" s="50">
        <f>ROUND(F1007*G1007,2)</f>
        <v>0</v>
      </c>
      <c r="K1007" s="51" t="s">
        <v>116</v>
      </c>
      <c r="Z1007" s="50">
        <f>ROUND(IF(AQ1007="5",BJ1007,0),2)</f>
        <v>0</v>
      </c>
      <c r="AB1007" s="50">
        <f>ROUND(IF(AQ1007="1",BH1007,0),2)</f>
        <v>0</v>
      </c>
      <c r="AC1007" s="50">
        <f>ROUND(IF(AQ1007="1",BI1007,0),2)</f>
        <v>0</v>
      </c>
      <c r="AD1007" s="50">
        <f>ROUND(IF(AQ1007="7",BH1007,0),2)</f>
        <v>0</v>
      </c>
      <c r="AE1007" s="50">
        <f>ROUND(IF(AQ1007="7",BI1007,0),2)</f>
        <v>0</v>
      </c>
      <c r="AF1007" s="50">
        <f>ROUND(IF(AQ1007="2",BH1007,0),2)</f>
        <v>0</v>
      </c>
      <c r="AG1007" s="50">
        <f>ROUND(IF(AQ1007="2",BI1007,0),2)</f>
        <v>0</v>
      </c>
      <c r="AH1007" s="50">
        <f>ROUND(IF(AQ1007="0",BJ1007,0),2)</f>
        <v>0</v>
      </c>
      <c r="AI1007" s="32" t="s">
        <v>4</v>
      </c>
      <c r="AJ1007" s="50">
        <f>IF(AN1007=0,J1007,0)</f>
        <v>0</v>
      </c>
      <c r="AK1007" s="50">
        <f>IF(AN1007=12,J1007,0)</f>
        <v>0</v>
      </c>
      <c r="AL1007" s="50">
        <f>IF(AN1007=21,J1007,0)</f>
        <v>0</v>
      </c>
      <c r="AN1007" s="50">
        <v>21</v>
      </c>
      <c r="AO1007" s="50">
        <f>G1007*0.082481752</f>
        <v>0</v>
      </c>
      <c r="AP1007" s="50">
        <f>G1007*(1-0.082481752)</f>
        <v>0</v>
      </c>
      <c r="AQ1007" s="52" t="s">
        <v>132</v>
      </c>
      <c r="AV1007" s="50">
        <f>ROUND(AW1007+AX1007,2)</f>
        <v>0</v>
      </c>
      <c r="AW1007" s="50">
        <f>ROUND(F1007*AO1007,2)</f>
        <v>0</v>
      </c>
      <c r="AX1007" s="50">
        <f>ROUND(F1007*AP1007,2)</f>
        <v>0</v>
      </c>
      <c r="AY1007" s="52" t="s">
        <v>1597</v>
      </c>
      <c r="AZ1007" s="52" t="s">
        <v>1535</v>
      </c>
      <c r="BA1007" s="32" t="s">
        <v>119</v>
      </c>
      <c r="BC1007" s="50">
        <f>AW1007+AX1007</f>
        <v>0</v>
      </c>
      <c r="BD1007" s="50">
        <f>G1007/(100-BE1007)*100</f>
        <v>0</v>
      </c>
      <c r="BE1007" s="50">
        <v>0</v>
      </c>
      <c r="BF1007" s="50">
        <f>1007</f>
        <v>1007</v>
      </c>
      <c r="BH1007" s="50">
        <f>F1007*AO1007</f>
        <v>0</v>
      </c>
      <c r="BI1007" s="50">
        <f>F1007*AP1007</f>
        <v>0</v>
      </c>
      <c r="BJ1007" s="50">
        <f>F1007*G1007</f>
        <v>0</v>
      </c>
      <c r="BK1007" s="50"/>
      <c r="BL1007" s="50"/>
      <c r="BW1007" s="50">
        <v>21</v>
      </c>
      <c r="BX1007" s="3" t="s">
        <v>1605</v>
      </c>
    </row>
    <row r="1008" spans="1:76" ht="13.5" customHeight="1" x14ac:dyDescent="0.3">
      <c r="A1008" s="53"/>
      <c r="B1008" s="57" t="s">
        <v>198</v>
      </c>
      <c r="C1008" s="150" t="s">
        <v>1606</v>
      </c>
      <c r="D1008" s="151"/>
      <c r="E1008" s="151"/>
      <c r="F1008" s="151"/>
      <c r="G1008" s="151"/>
      <c r="H1008" s="151"/>
      <c r="I1008" s="151"/>
      <c r="J1008" s="151"/>
      <c r="K1008" s="152"/>
    </row>
    <row r="1009" spans="1:76" ht="14.4" x14ac:dyDescent="0.3">
      <c r="A1009" s="53"/>
      <c r="C1009" s="54" t="s">
        <v>397</v>
      </c>
      <c r="D1009" s="54" t="s">
        <v>4</v>
      </c>
      <c r="F1009" s="55">
        <v>55</v>
      </c>
      <c r="K1009" s="56"/>
    </row>
    <row r="1010" spans="1:76" ht="14.4" x14ac:dyDescent="0.3">
      <c r="A1010" s="1" t="s">
        <v>1607</v>
      </c>
      <c r="B1010" s="2" t="s">
        <v>1608</v>
      </c>
      <c r="C1010" s="75" t="s">
        <v>1609</v>
      </c>
      <c r="D1010" s="70"/>
      <c r="E1010" s="2" t="s">
        <v>278</v>
      </c>
      <c r="F1010" s="50">
        <v>18</v>
      </c>
      <c r="G1010" s="50">
        <v>0</v>
      </c>
      <c r="H1010" s="50">
        <f>ROUND(F1010*AO1010,2)</f>
        <v>0</v>
      </c>
      <c r="I1010" s="50">
        <f>ROUND(F1010*AP1010,2)</f>
        <v>0</v>
      </c>
      <c r="J1010" s="50">
        <f>ROUND(F1010*G1010,2)</f>
        <v>0</v>
      </c>
      <c r="K1010" s="51" t="s">
        <v>116</v>
      </c>
      <c r="Z1010" s="50">
        <f>ROUND(IF(AQ1010="5",BJ1010,0),2)</f>
        <v>0</v>
      </c>
      <c r="AB1010" s="50">
        <f>ROUND(IF(AQ1010="1",BH1010,0),2)</f>
        <v>0</v>
      </c>
      <c r="AC1010" s="50">
        <f>ROUND(IF(AQ1010="1",BI1010,0),2)</f>
        <v>0</v>
      </c>
      <c r="AD1010" s="50">
        <f>ROUND(IF(AQ1010="7",BH1010,0),2)</f>
        <v>0</v>
      </c>
      <c r="AE1010" s="50">
        <f>ROUND(IF(AQ1010="7",BI1010,0),2)</f>
        <v>0</v>
      </c>
      <c r="AF1010" s="50">
        <f>ROUND(IF(AQ1010="2",BH1010,0),2)</f>
        <v>0</v>
      </c>
      <c r="AG1010" s="50">
        <f>ROUND(IF(AQ1010="2",BI1010,0),2)</f>
        <v>0</v>
      </c>
      <c r="AH1010" s="50">
        <f>ROUND(IF(AQ1010="0",BJ1010,0),2)</f>
        <v>0</v>
      </c>
      <c r="AI1010" s="32" t="s">
        <v>4</v>
      </c>
      <c r="AJ1010" s="50">
        <f>IF(AN1010=0,J1010,0)</f>
        <v>0</v>
      </c>
      <c r="AK1010" s="50">
        <f>IF(AN1010=12,J1010,0)</f>
        <v>0</v>
      </c>
      <c r="AL1010" s="50">
        <f>IF(AN1010=21,J1010,0)</f>
        <v>0</v>
      </c>
      <c r="AN1010" s="50">
        <v>21</v>
      </c>
      <c r="AO1010" s="50">
        <f>G1010*0.131852434</f>
        <v>0</v>
      </c>
      <c r="AP1010" s="50">
        <f>G1010*(1-0.131852434)</f>
        <v>0</v>
      </c>
      <c r="AQ1010" s="52" t="s">
        <v>132</v>
      </c>
      <c r="AV1010" s="50">
        <f>ROUND(AW1010+AX1010,2)</f>
        <v>0</v>
      </c>
      <c r="AW1010" s="50">
        <f>ROUND(F1010*AO1010,2)</f>
        <v>0</v>
      </c>
      <c r="AX1010" s="50">
        <f>ROUND(F1010*AP1010,2)</f>
        <v>0</v>
      </c>
      <c r="AY1010" s="52" t="s">
        <v>1597</v>
      </c>
      <c r="AZ1010" s="52" t="s">
        <v>1535</v>
      </c>
      <c r="BA1010" s="32" t="s">
        <v>119</v>
      </c>
      <c r="BC1010" s="50">
        <f>AW1010+AX1010</f>
        <v>0</v>
      </c>
      <c r="BD1010" s="50">
        <f>G1010/(100-BE1010)*100</f>
        <v>0</v>
      </c>
      <c r="BE1010" s="50">
        <v>0</v>
      </c>
      <c r="BF1010" s="50">
        <f>1010</f>
        <v>1010</v>
      </c>
      <c r="BH1010" s="50">
        <f>F1010*AO1010</f>
        <v>0</v>
      </c>
      <c r="BI1010" s="50">
        <f>F1010*AP1010</f>
        <v>0</v>
      </c>
      <c r="BJ1010" s="50">
        <f>F1010*G1010</f>
        <v>0</v>
      </c>
      <c r="BK1010" s="50"/>
      <c r="BL1010" s="50"/>
      <c r="BW1010" s="50">
        <v>21</v>
      </c>
      <c r="BX1010" s="3" t="s">
        <v>1609</v>
      </c>
    </row>
    <row r="1011" spans="1:76" ht="13.5" customHeight="1" x14ac:dyDescent="0.3">
      <c r="A1011" s="53"/>
      <c r="B1011" s="57" t="s">
        <v>198</v>
      </c>
      <c r="C1011" s="150" t="s">
        <v>1610</v>
      </c>
      <c r="D1011" s="151"/>
      <c r="E1011" s="151"/>
      <c r="F1011" s="151"/>
      <c r="G1011" s="151"/>
      <c r="H1011" s="151"/>
      <c r="I1011" s="151"/>
      <c r="J1011" s="151"/>
      <c r="K1011" s="152"/>
    </row>
    <row r="1012" spans="1:76" ht="14.4" x14ac:dyDescent="0.3">
      <c r="A1012" s="53"/>
      <c r="C1012" s="54" t="s">
        <v>211</v>
      </c>
      <c r="D1012" s="54" t="s">
        <v>4</v>
      </c>
      <c r="F1012" s="55">
        <v>18</v>
      </c>
      <c r="K1012" s="56"/>
    </row>
    <row r="1013" spans="1:76" ht="14.4" x14ac:dyDescent="0.3">
      <c r="A1013" s="1" t="s">
        <v>1611</v>
      </c>
      <c r="B1013" s="2" t="s">
        <v>1612</v>
      </c>
      <c r="C1013" s="75" t="s">
        <v>1613</v>
      </c>
      <c r="D1013" s="70"/>
      <c r="E1013" s="2" t="s">
        <v>278</v>
      </c>
      <c r="F1013" s="50">
        <v>36</v>
      </c>
      <c r="G1013" s="50">
        <v>0</v>
      </c>
      <c r="H1013" s="50">
        <f>ROUND(F1013*AO1013,2)</f>
        <v>0</v>
      </c>
      <c r="I1013" s="50">
        <f>ROUND(F1013*AP1013,2)</f>
        <v>0</v>
      </c>
      <c r="J1013" s="50">
        <f>ROUND(F1013*G1013,2)</f>
        <v>0</v>
      </c>
      <c r="K1013" s="51" t="s">
        <v>116</v>
      </c>
      <c r="Z1013" s="50">
        <f>ROUND(IF(AQ1013="5",BJ1013,0),2)</f>
        <v>0</v>
      </c>
      <c r="AB1013" s="50">
        <f>ROUND(IF(AQ1013="1",BH1013,0),2)</f>
        <v>0</v>
      </c>
      <c r="AC1013" s="50">
        <f>ROUND(IF(AQ1013="1",BI1013,0),2)</f>
        <v>0</v>
      </c>
      <c r="AD1013" s="50">
        <f>ROUND(IF(AQ1013="7",BH1013,0),2)</f>
        <v>0</v>
      </c>
      <c r="AE1013" s="50">
        <f>ROUND(IF(AQ1013="7",BI1013,0),2)</f>
        <v>0</v>
      </c>
      <c r="AF1013" s="50">
        <f>ROUND(IF(AQ1013="2",BH1013,0),2)</f>
        <v>0</v>
      </c>
      <c r="AG1013" s="50">
        <f>ROUND(IF(AQ1013="2",BI1013,0),2)</f>
        <v>0</v>
      </c>
      <c r="AH1013" s="50">
        <f>ROUND(IF(AQ1013="0",BJ1013,0),2)</f>
        <v>0</v>
      </c>
      <c r="AI1013" s="32" t="s">
        <v>4</v>
      </c>
      <c r="AJ1013" s="50">
        <f>IF(AN1013=0,J1013,0)</f>
        <v>0</v>
      </c>
      <c r="AK1013" s="50">
        <f>IF(AN1013=12,J1013,0)</f>
        <v>0</v>
      </c>
      <c r="AL1013" s="50">
        <f>IF(AN1013=21,J1013,0)</f>
        <v>0</v>
      </c>
      <c r="AN1013" s="50">
        <v>21</v>
      </c>
      <c r="AO1013" s="50">
        <f>G1013*0.409190372</f>
        <v>0</v>
      </c>
      <c r="AP1013" s="50">
        <f>G1013*(1-0.409190372)</f>
        <v>0</v>
      </c>
      <c r="AQ1013" s="52" t="s">
        <v>132</v>
      </c>
      <c r="AV1013" s="50">
        <f>ROUND(AW1013+AX1013,2)</f>
        <v>0</v>
      </c>
      <c r="AW1013" s="50">
        <f>ROUND(F1013*AO1013,2)</f>
        <v>0</v>
      </c>
      <c r="AX1013" s="50">
        <f>ROUND(F1013*AP1013,2)</f>
        <v>0</v>
      </c>
      <c r="AY1013" s="52" t="s">
        <v>1597</v>
      </c>
      <c r="AZ1013" s="52" t="s">
        <v>1535</v>
      </c>
      <c r="BA1013" s="32" t="s">
        <v>119</v>
      </c>
      <c r="BC1013" s="50">
        <f>AW1013+AX1013</f>
        <v>0</v>
      </c>
      <c r="BD1013" s="50">
        <f>G1013/(100-BE1013)*100</f>
        <v>0</v>
      </c>
      <c r="BE1013" s="50">
        <v>0</v>
      </c>
      <c r="BF1013" s="50">
        <f>1013</f>
        <v>1013</v>
      </c>
      <c r="BH1013" s="50">
        <f>F1013*AO1013</f>
        <v>0</v>
      </c>
      <c r="BI1013" s="50">
        <f>F1013*AP1013</f>
        <v>0</v>
      </c>
      <c r="BJ1013" s="50">
        <f>F1013*G1013</f>
        <v>0</v>
      </c>
      <c r="BK1013" s="50"/>
      <c r="BL1013" s="50"/>
      <c r="BW1013" s="50">
        <v>21</v>
      </c>
      <c r="BX1013" s="3" t="s">
        <v>1613</v>
      </c>
    </row>
    <row r="1014" spans="1:76" ht="13.5" customHeight="1" x14ac:dyDescent="0.3">
      <c r="A1014" s="53"/>
      <c r="B1014" s="57" t="s">
        <v>198</v>
      </c>
      <c r="C1014" s="150" t="s">
        <v>1614</v>
      </c>
      <c r="D1014" s="151"/>
      <c r="E1014" s="151"/>
      <c r="F1014" s="151"/>
      <c r="G1014" s="151"/>
      <c r="H1014" s="151"/>
      <c r="I1014" s="151"/>
      <c r="J1014" s="151"/>
      <c r="K1014" s="152"/>
    </row>
    <row r="1015" spans="1:76" ht="14.4" x14ac:dyDescent="0.3">
      <c r="A1015" s="53"/>
      <c r="C1015" s="54" t="s">
        <v>304</v>
      </c>
      <c r="D1015" s="54" t="s">
        <v>4</v>
      </c>
      <c r="F1015" s="55">
        <v>36</v>
      </c>
      <c r="K1015" s="56"/>
    </row>
    <row r="1016" spans="1:76" ht="14.4" x14ac:dyDescent="0.3">
      <c r="A1016" s="1" t="s">
        <v>1615</v>
      </c>
      <c r="B1016" s="2" t="s">
        <v>1616</v>
      </c>
      <c r="C1016" s="75" t="s">
        <v>1617</v>
      </c>
      <c r="D1016" s="70"/>
      <c r="E1016" s="2" t="s">
        <v>278</v>
      </c>
      <c r="F1016" s="50">
        <v>18</v>
      </c>
      <c r="G1016" s="50">
        <v>0</v>
      </c>
      <c r="H1016" s="50">
        <f>ROUND(F1016*AO1016,2)</f>
        <v>0</v>
      </c>
      <c r="I1016" s="50">
        <f>ROUND(F1016*AP1016,2)</f>
        <v>0</v>
      </c>
      <c r="J1016" s="50">
        <f>ROUND(F1016*G1016,2)</f>
        <v>0</v>
      </c>
      <c r="K1016" s="51" t="s">
        <v>116</v>
      </c>
      <c r="Z1016" s="50">
        <f>ROUND(IF(AQ1016="5",BJ1016,0),2)</f>
        <v>0</v>
      </c>
      <c r="AB1016" s="50">
        <f>ROUND(IF(AQ1016="1",BH1016,0),2)</f>
        <v>0</v>
      </c>
      <c r="AC1016" s="50">
        <f>ROUND(IF(AQ1016="1",BI1016,0),2)</f>
        <v>0</v>
      </c>
      <c r="AD1016" s="50">
        <f>ROUND(IF(AQ1016="7",BH1016,0),2)</f>
        <v>0</v>
      </c>
      <c r="AE1016" s="50">
        <f>ROUND(IF(AQ1016="7",BI1016,0),2)</f>
        <v>0</v>
      </c>
      <c r="AF1016" s="50">
        <f>ROUND(IF(AQ1016="2",BH1016,0),2)</f>
        <v>0</v>
      </c>
      <c r="AG1016" s="50">
        <f>ROUND(IF(AQ1016="2",BI1016,0),2)</f>
        <v>0</v>
      </c>
      <c r="AH1016" s="50">
        <f>ROUND(IF(AQ1016="0",BJ1016,0),2)</f>
        <v>0</v>
      </c>
      <c r="AI1016" s="32" t="s">
        <v>4</v>
      </c>
      <c r="AJ1016" s="50">
        <f>IF(AN1016=0,J1016,0)</f>
        <v>0</v>
      </c>
      <c r="AK1016" s="50">
        <f>IF(AN1016=12,J1016,0)</f>
        <v>0</v>
      </c>
      <c r="AL1016" s="50">
        <f>IF(AN1016=21,J1016,0)</f>
        <v>0</v>
      </c>
      <c r="AN1016" s="50">
        <v>21</v>
      </c>
      <c r="AO1016" s="50">
        <f>G1016*0</f>
        <v>0</v>
      </c>
      <c r="AP1016" s="50">
        <f>G1016*(1-0)</f>
        <v>0</v>
      </c>
      <c r="AQ1016" s="52" t="s">
        <v>132</v>
      </c>
      <c r="AV1016" s="50">
        <f>ROUND(AW1016+AX1016,2)</f>
        <v>0</v>
      </c>
      <c r="AW1016" s="50">
        <f>ROUND(F1016*AO1016,2)</f>
        <v>0</v>
      </c>
      <c r="AX1016" s="50">
        <f>ROUND(F1016*AP1016,2)</f>
        <v>0</v>
      </c>
      <c r="AY1016" s="52" t="s">
        <v>1597</v>
      </c>
      <c r="AZ1016" s="52" t="s">
        <v>1535</v>
      </c>
      <c r="BA1016" s="32" t="s">
        <v>119</v>
      </c>
      <c r="BC1016" s="50">
        <f>AW1016+AX1016</f>
        <v>0</v>
      </c>
      <c r="BD1016" s="50">
        <f>G1016/(100-BE1016)*100</f>
        <v>0</v>
      </c>
      <c r="BE1016" s="50">
        <v>0</v>
      </c>
      <c r="BF1016" s="50">
        <f>1016</f>
        <v>1016</v>
      </c>
      <c r="BH1016" s="50">
        <f>F1016*AO1016</f>
        <v>0</v>
      </c>
      <c r="BI1016" s="50">
        <f>F1016*AP1016</f>
        <v>0</v>
      </c>
      <c r="BJ1016" s="50">
        <f>F1016*G1016</f>
        <v>0</v>
      </c>
      <c r="BK1016" s="50"/>
      <c r="BL1016" s="50"/>
      <c r="BW1016" s="50">
        <v>21</v>
      </c>
      <c r="BX1016" s="3" t="s">
        <v>1617</v>
      </c>
    </row>
    <row r="1017" spans="1:76" ht="14.4" x14ac:dyDescent="0.3">
      <c r="A1017" s="53"/>
      <c r="C1017" s="54" t="s">
        <v>211</v>
      </c>
      <c r="D1017" s="54" t="s">
        <v>4</v>
      </c>
      <c r="F1017" s="55">
        <v>18</v>
      </c>
      <c r="K1017" s="56"/>
    </row>
    <row r="1018" spans="1:76" ht="14.4" x14ac:dyDescent="0.3">
      <c r="A1018" s="1" t="s">
        <v>1618</v>
      </c>
      <c r="B1018" s="2" t="s">
        <v>1619</v>
      </c>
      <c r="C1018" s="75" t="s">
        <v>1620</v>
      </c>
      <c r="D1018" s="70"/>
      <c r="E1018" s="2" t="s">
        <v>278</v>
      </c>
      <c r="F1018" s="50">
        <v>3</v>
      </c>
      <c r="G1018" s="50">
        <v>0</v>
      </c>
      <c r="H1018" s="50">
        <f>ROUND(F1018*AO1018,2)</f>
        <v>0</v>
      </c>
      <c r="I1018" s="50">
        <f>ROUND(F1018*AP1018,2)</f>
        <v>0</v>
      </c>
      <c r="J1018" s="50">
        <f>ROUND(F1018*G1018,2)</f>
        <v>0</v>
      </c>
      <c r="K1018" s="51" t="s">
        <v>116</v>
      </c>
      <c r="Z1018" s="50">
        <f>ROUND(IF(AQ1018="5",BJ1018,0),2)</f>
        <v>0</v>
      </c>
      <c r="AB1018" s="50">
        <f>ROUND(IF(AQ1018="1",BH1018,0),2)</f>
        <v>0</v>
      </c>
      <c r="AC1018" s="50">
        <f>ROUND(IF(AQ1018="1",BI1018,0),2)</f>
        <v>0</v>
      </c>
      <c r="AD1018" s="50">
        <f>ROUND(IF(AQ1018="7",BH1018,0),2)</f>
        <v>0</v>
      </c>
      <c r="AE1018" s="50">
        <f>ROUND(IF(AQ1018="7",BI1018,0),2)</f>
        <v>0</v>
      </c>
      <c r="AF1018" s="50">
        <f>ROUND(IF(AQ1018="2",BH1018,0),2)</f>
        <v>0</v>
      </c>
      <c r="AG1018" s="50">
        <f>ROUND(IF(AQ1018="2",BI1018,0),2)</f>
        <v>0</v>
      </c>
      <c r="AH1018" s="50">
        <f>ROUND(IF(AQ1018="0",BJ1018,0),2)</f>
        <v>0</v>
      </c>
      <c r="AI1018" s="32" t="s">
        <v>4</v>
      </c>
      <c r="AJ1018" s="50">
        <f>IF(AN1018=0,J1018,0)</f>
        <v>0</v>
      </c>
      <c r="AK1018" s="50">
        <f>IF(AN1018=12,J1018,0)</f>
        <v>0</v>
      </c>
      <c r="AL1018" s="50">
        <f>IF(AN1018=21,J1018,0)</f>
        <v>0</v>
      </c>
      <c r="AN1018" s="50">
        <v>21</v>
      </c>
      <c r="AO1018" s="50">
        <f>G1018*0</f>
        <v>0</v>
      </c>
      <c r="AP1018" s="50">
        <f>G1018*(1-0)</f>
        <v>0</v>
      </c>
      <c r="AQ1018" s="52" t="s">
        <v>132</v>
      </c>
      <c r="AV1018" s="50">
        <f>ROUND(AW1018+AX1018,2)</f>
        <v>0</v>
      </c>
      <c r="AW1018" s="50">
        <f>ROUND(F1018*AO1018,2)</f>
        <v>0</v>
      </c>
      <c r="AX1018" s="50">
        <f>ROUND(F1018*AP1018,2)</f>
        <v>0</v>
      </c>
      <c r="AY1018" s="52" t="s">
        <v>1597</v>
      </c>
      <c r="AZ1018" s="52" t="s">
        <v>1535</v>
      </c>
      <c r="BA1018" s="32" t="s">
        <v>119</v>
      </c>
      <c r="BC1018" s="50">
        <f>AW1018+AX1018</f>
        <v>0</v>
      </c>
      <c r="BD1018" s="50">
        <f>G1018/(100-BE1018)*100</f>
        <v>0</v>
      </c>
      <c r="BE1018" s="50">
        <v>0</v>
      </c>
      <c r="BF1018" s="50">
        <f>1018</f>
        <v>1018</v>
      </c>
      <c r="BH1018" s="50">
        <f>F1018*AO1018</f>
        <v>0</v>
      </c>
      <c r="BI1018" s="50">
        <f>F1018*AP1018</f>
        <v>0</v>
      </c>
      <c r="BJ1018" s="50">
        <f>F1018*G1018</f>
        <v>0</v>
      </c>
      <c r="BK1018" s="50"/>
      <c r="BL1018" s="50"/>
      <c r="BW1018" s="50">
        <v>21</v>
      </c>
      <c r="BX1018" s="3" t="s">
        <v>1620</v>
      </c>
    </row>
    <row r="1019" spans="1:76" ht="14.4" x14ac:dyDescent="0.3">
      <c r="A1019" s="53"/>
      <c r="C1019" s="54" t="s">
        <v>132</v>
      </c>
      <c r="D1019" s="54" t="s">
        <v>4</v>
      </c>
      <c r="F1019" s="55">
        <v>2</v>
      </c>
      <c r="K1019" s="56"/>
    </row>
    <row r="1020" spans="1:76" ht="14.4" x14ac:dyDescent="0.3">
      <c r="A1020" s="53"/>
      <c r="C1020" s="54" t="s">
        <v>112</v>
      </c>
      <c r="D1020" s="54" t="s">
        <v>4</v>
      </c>
      <c r="F1020" s="55">
        <v>1</v>
      </c>
      <c r="K1020" s="56"/>
    </row>
    <row r="1021" spans="1:76" ht="14.4" x14ac:dyDescent="0.3">
      <c r="A1021" s="1" t="s">
        <v>1621</v>
      </c>
      <c r="B1021" s="2" t="s">
        <v>1622</v>
      </c>
      <c r="C1021" s="75" t="s">
        <v>1623</v>
      </c>
      <c r="D1021" s="70"/>
      <c r="E1021" s="2" t="s">
        <v>278</v>
      </c>
      <c r="F1021" s="50">
        <v>3</v>
      </c>
      <c r="G1021" s="50">
        <v>0</v>
      </c>
      <c r="H1021" s="50">
        <f>ROUND(F1021*AO1021,2)</f>
        <v>0</v>
      </c>
      <c r="I1021" s="50">
        <f>ROUND(F1021*AP1021,2)</f>
        <v>0</v>
      </c>
      <c r="J1021" s="50">
        <f>ROUND(F1021*G1021,2)</f>
        <v>0</v>
      </c>
      <c r="K1021" s="51" t="s">
        <v>116</v>
      </c>
      <c r="Z1021" s="50">
        <f>ROUND(IF(AQ1021="5",BJ1021,0),2)</f>
        <v>0</v>
      </c>
      <c r="AB1021" s="50">
        <f>ROUND(IF(AQ1021="1",BH1021,0),2)</f>
        <v>0</v>
      </c>
      <c r="AC1021" s="50">
        <f>ROUND(IF(AQ1021="1",BI1021,0),2)</f>
        <v>0</v>
      </c>
      <c r="AD1021" s="50">
        <f>ROUND(IF(AQ1021="7",BH1021,0),2)</f>
        <v>0</v>
      </c>
      <c r="AE1021" s="50">
        <f>ROUND(IF(AQ1021="7",BI1021,0),2)</f>
        <v>0</v>
      </c>
      <c r="AF1021" s="50">
        <f>ROUND(IF(AQ1021="2",BH1021,0),2)</f>
        <v>0</v>
      </c>
      <c r="AG1021" s="50">
        <f>ROUND(IF(AQ1021="2",BI1021,0),2)</f>
        <v>0</v>
      </c>
      <c r="AH1021" s="50">
        <f>ROUND(IF(AQ1021="0",BJ1021,0),2)</f>
        <v>0</v>
      </c>
      <c r="AI1021" s="32" t="s">
        <v>4</v>
      </c>
      <c r="AJ1021" s="50">
        <f>IF(AN1021=0,J1021,0)</f>
        <v>0</v>
      </c>
      <c r="AK1021" s="50">
        <f>IF(AN1021=12,J1021,0)</f>
        <v>0</v>
      </c>
      <c r="AL1021" s="50">
        <f>IF(AN1021=21,J1021,0)</f>
        <v>0</v>
      </c>
      <c r="AN1021" s="50">
        <v>21</v>
      </c>
      <c r="AO1021" s="50">
        <f>G1021*1</f>
        <v>0</v>
      </c>
      <c r="AP1021" s="50">
        <f>G1021*(1-1)</f>
        <v>0</v>
      </c>
      <c r="AQ1021" s="52" t="s">
        <v>132</v>
      </c>
      <c r="AV1021" s="50">
        <f>ROUND(AW1021+AX1021,2)</f>
        <v>0</v>
      </c>
      <c r="AW1021" s="50">
        <f>ROUND(F1021*AO1021,2)</f>
        <v>0</v>
      </c>
      <c r="AX1021" s="50">
        <f>ROUND(F1021*AP1021,2)</f>
        <v>0</v>
      </c>
      <c r="AY1021" s="52" t="s">
        <v>1597</v>
      </c>
      <c r="AZ1021" s="52" t="s">
        <v>1535</v>
      </c>
      <c r="BA1021" s="32" t="s">
        <v>119</v>
      </c>
      <c r="BC1021" s="50">
        <f>AW1021+AX1021</f>
        <v>0</v>
      </c>
      <c r="BD1021" s="50">
        <f>G1021/(100-BE1021)*100</f>
        <v>0</v>
      </c>
      <c r="BE1021" s="50">
        <v>0</v>
      </c>
      <c r="BF1021" s="50">
        <f>1021</f>
        <v>1021</v>
      </c>
      <c r="BH1021" s="50">
        <f>F1021*AO1021</f>
        <v>0</v>
      </c>
      <c r="BI1021" s="50">
        <f>F1021*AP1021</f>
        <v>0</v>
      </c>
      <c r="BJ1021" s="50">
        <f>F1021*G1021</f>
        <v>0</v>
      </c>
      <c r="BK1021" s="50"/>
      <c r="BL1021" s="50"/>
      <c r="BW1021" s="50">
        <v>21</v>
      </c>
      <c r="BX1021" s="3" t="s">
        <v>1623</v>
      </c>
    </row>
    <row r="1022" spans="1:76" ht="14.4" x14ac:dyDescent="0.3">
      <c r="A1022" s="53"/>
      <c r="C1022" s="54" t="s">
        <v>132</v>
      </c>
      <c r="D1022" s="54" t="s">
        <v>4</v>
      </c>
      <c r="F1022" s="55">
        <v>2</v>
      </c>
      <c r="K1022" s="56"/>
    </row>
    <row r="1023" spans="1:76" ht="14.4" x14ac:dyDescent="0.3">
      <c r="A1023" s="1" t="s">
        <v>1624</v>
      </c>
      <c r="B1023" s="2" t="s">
        <v>1625</v>
      </c>
      <c r="C1023" s="75" t="s">
        <v>1626</v>
      </c>
      <c r="D1023" s="70"/>
      <c r="E1023" s="2" t="s">
        <v>278</v>
      </c>
      <c r="F1023" s="50">
        <v>6</v>
      </c>
      <c r="G1023" s="50">
        <v>0</v>
      </c>
      <c r="H1023" s="50">
        <f>ROUND(F1023*AO1023,2)</f>
        <v>0</v>
      </c>
      <c r="I1023" s="50">
        <f>ROUND(F1023*AP1023,2)</f>
        <v>0</v>
      </c>
      <c r="J1023" s="50">
        <f>ROUND(F1023*G1023,2)</f>
        <v>0</v>
      </c>
      <c r="K1023" s="51" t="s">
        <v>116</v>
      </c>
      <c r="Z1023" s="50">
        <f>ROUND(IF(AQ1023="5",BJ1023,0),2)</f>
        <v>0</v>
      </c>
      <c r="AB1023" s="50">
        <f>ROUND(IF(AQ1023="1",BH1023,0),2)</f>
        <v>0</v>
      </c>
      <c r="AC1023" s="50">
        <f>ROUND(IF(AQ1023="1",BI1023,0),2)</f>
        <v>0</v>
      </c>
      <c r="AD1023" s="50">
        <f>ROUND(IF(AQ1023="7",BH1023,0),2)</f>
        <v>0</v>
      </c>
      <c r="AE1023" s="50">
        <f>ROUND(IF(AQ1023="7",BI1023,0),2)</f>
        <v>0</v>
      </c>
      <c r="AF1023" s="50">
        <f>ROUND(IF(AQ1023="2",BH1023,0),2)</f>
        <v>0</v>
      </c>
      <c r="AG1023" s="50">
        <f>ROUND(IF(AQ1023="2",BI1023,0),2)</f>
        <v>0</v>
      </c>
      <c r="AH1023" s="50">
        <f>ROUND(IF(AQ1023="0",BJ1023,0),2)</f>
        <v>0</v>
      </c>
      <c r="AI1023" s="32" t="s">
        <v>4</v>
      </c>
      <c r="AJ1023" s="50">
        <f>IF(AN1023=0,J1023,0)</f>
        <v>0</v>
      </c>
      <c r="AK1023" s="50">
        <f>IF(AN1023=12,J1023,0)</f>
        <v>0</v>
      </c>
      <c r="AL1023" s="50">
        <f>IF(AN1023=21,J1023,0)</f>
        <v>0</v>
      </c>
      <c r="AN1023" s="50">
        <v>21</v>
      </c>
      <c r="AO1023" s="50">
        <f>G1023*1</f>
        <v>0</v>
      </c>
      <c r="AP1023" s="50">
        <f>G1023*(1-1)</f>
        <v>0</v>
      </c>
      <c r="AQ1023" s="52" t="s">
        <v>132</v>
      </c>
      <c r="AV1023" s="50">
        <f>ROUND(AW1023+AX1023,2)</f>
        <v>0</v>
      </c>
      <c r="AW1023" s="50">
        <f>ROUND(F1023*AO1023,2)</f>
        <v>0</v>
      </c>
      <c r="AX1023" s="50">
        <f>ROUND(F1023*AP1023,2)</f>
        <v>0</v>
      </c>
      <c r="AY1023" s="52" t="s">
        <v>1597</v>
      </c>
      <c r="AZ1023" s="52" t="s">
        <v>1535</v>
      </c>
      <c r="BA1023" s="32" t="s">
        <v>119</v>
      </c>
      <c r="BC1023" s="50">
        <f>AW1023+AX1023</f>
        <v>0</v>
      </c>
      <c r="BD1023" s="50">
        <f>G1023/(100-BE1023)*100</f>
        <v>0</v>
      </c>
      <c r="BE1023" s="50">
        <v>0</v>
      </c>
      <c r="BF1023" s="50">
        <f>1023</f>
        <v>1023</v>
      </c>
      <c r="BH1023" s="50">
        <f>F1023*AO1023</f>
        <v>0</v>
      </c>
      <c r="BI1023" s="50">
        <f>F1023*AP1023</f>
        <v>0</v>
      </c>
      <c r="BJ1023" s="50">
        <f>F1023*G1023</f>
        <v>0</v>
      </c>
      <c r="BK1023" s="50"/>
      <c r="BL1023" s="50"/>
      <c r="BW1023" s="50">
        <v>21</v>
      </c>
      <c r="BX1023" s="3" t="s">
        <v>1626</v>
      </c>
    </row>
    <row r="1024" spans="1:76" ht="14.4" x14ac:dyDescent="0.3">
      <c r="A1024" s="53"/>
      <c r="C1024" s="54" t="s">
        <v>140</v>
      </c>
      <c r="D1024" s="54" t="s">
        <v>4</v>
      </c>
      <c r="F1024" s="55">
        <v>4</v>
      </c>
      <c r="K1024" s="56"/>
    </row>
    <row r="1025" spans="1:76" ht="14.4" x14ac:dyDescent="0.3">
      <c r="A1025" s="1" t="s">
        <v>1627</v>
      </c>
      <c r="B1025" s="2" t="s">
        <v>1628</v>
      </c>
      <c r="C1025" s="75" t="s">
        <v>1629</v>
      </c>
      <c r="D1025" s="70"/>
      <c r="E1025" s="2" t="s">
        <v>278</v>
      </c>
      <c r="F1025" s="50">
        <v>3</v>
      </c>
      <c r="G1025" s="50">
        <v>0</v>
      </c>
      <c r="H1025" s="50">
        <f>ROUND(F1025*AO1025,2)</f>
        <v>0</v>
      </c>
      <c r="I1025" s="50">
        <f>ROUND(F1025*AP1025,2)</f>
        <v>0</v>
      </c>
      <c r="J1025" s="50">
        <f>ROUND(F1025*G1025,2)</f>
        <v>0</v>
      </c>
      <c r="K1025" s="51" t="s">
        <v>116</v>
      </c>
      <c r="Z1025" s="50">
        <f>ROUND(IF(AQ1025="5",BJ1025,0),2)</f>
        <v>0</v>
      </c>
      <c r="AB1025" s="50">
        <f>ROUND(IF(AQ1025="1",BH1025,0),2)</f>
        <v>0</v>
      </c>
      <c r="AC1025" s="50">
        <f>ROUND(IF(AQ1025="1",BI1025,0),2)</f>
        <v>0</v>
      </c>
      <c r="AD1025" s="50">
        <f>ROUND(IF(AQ1025="7",BH1025,0),2)</f>
        <v>0</v>
      </c>
      <c r="AE1025" s="50">
        <f>ROUND(IF(AQ1025="7",BI1025,0),2)</f>
        <v>0</v>
      </c>
      <c r="AF1025" s="50">
        <f>ROUND(IF(AQ1025="2",BH1025,0),2)</f>
        <v>0</v>
      </c>
      <c r="AG1025" s="50">
        <f>ROUND(IF(AQ1025="2",BI1025,0),2)</f>
        <v>0</v>
      </c>
      <c r="AH1025" s="50">
        <f>ROUND(IF(AQ1025="0",BJ1025,0),2)</f>
        <v>0</v>
      </c>
      <c r="AI1025" s="32" t="s">
        <v>4</v>
      </c>
      <c r="AJ1025" s="50">
        <f>IF(AN1025=0,J1025,0)</f>
        <v>0</v>
      </c>
      <c r="AK1025" s="50">
        <f>IF(AN1025=12,J1025,0)</f>
        <v>0</v>
      </c>
      <c r="AL1025" s="50">
        <f>IF(AN1025=21,J1025,0)</f>
        <v>0</v>
      </c>
      <c r="AN1025" s="50">
        <v>21</v>
      </c>
      <c r="AO1025" s="50">
        <f>G1025*1</f>
        <v>0</v>
      </c>
      <c r="AP1025" s="50">
        <f>G1025*(1-1)</f>
        <v>0</v>
      </c>
      <c r="AQ1025" s="52" t="s">
        <v>132</v>
      </c>
      <c r="AV1025" s="50">
        <f>ROUND(AW1025+AX1025,2)</f>
        <v>0</v>
      </c>
      <c r="AW1025" s="50">
        <f>ROUND(F1025*AO1025,2)</f>
        <v>0</v>
      </c>
      <c r="AX1025" s="50">
        <f>ROUND(F1025*AP1025,2)</f>
        <v>0</v>
      </c>
      <c r="AY1025" s="52" t="s">
        <v>1597</v>
      </c>
      <c r="AZ1025" s="52" t="s">
        <v>1535</v>
      </c>
      <c r="BA1025" s="32" t="s">
        <v>119</v>
      </c>
      <c r="BC1025" s="50">
        <f>AW1025+AX1025</f>
        <v>0</v>
      </c>
      <c r="BD1025" s="50">
        <f>G1025/(100-BE1025)*100</f>
        <v>0</v>
      </c>
      <c r="BE1025" s="50">
        <v>0</v>
      </c>
      <c r="BF1025" s="50">
        <f>1025</f>
        <v>1025</v>
      </c>
      <c r="BH1025" s="50">
        <f>F1025*AO1025</f>
        <v>0</v>
      </c>
      <c r="BI1025" s="50">
        <f>F1025*AP1025</f>
        <v>0</v>
      </c>
      <c r="BJ1025" s="50">
        <f>F1025*G1025</f>
        <v>0</v>
      </c>
      <c r="BK1025" s="50"/>
      <c r="BL1025" s="50"/>
      <c r="BW1025" s="50">
        <v>21</v>
      </c>
      <c r="BX1025" s="3" t="s">
        <v>1629</v>
      </c>
    </row>
    <row r="1026" spans="1:76" ht="14.4" x14ac:dyDescent="0.3">
      <c r="A1026" s="53"/>
      <c r="C1026" s="54" t="s">
        <v>132</v>
      </c>
      <c r="D1026" s="54" t="s">
        <v>4</v>
      </c>
      <c r="F1026" s="55">
        <v>2</v>
      </c>
      <c r="K1026" s="56"/>
    </row>
    <row r="1027" spans="1:76" ht="14.4" x14ac:dyDescent="0.3">
      <c r="A1027" s="1" t="s">
        <v>1630</v>
      </c>
      <c r="B1027" s="2" t="s">
        <v>1631</v>
      </c>
      <c r="C1027" s="75" t="s">
        <v>1632</v>
      </c>
      <c r="D1027" s="70"/>
      <c r="E1027" s="2" t="s">
        <v>278</v>
      </c>
      <c r="F1027" s="50">
        <v>2</v>
      </c>
      <c r="G1027" s="50">
        <v>0</v>
      </c>
      <c r="H1027" s="50">
        <f>ROUND(F1027*AO1027,2)</f>
        <v>0</v>
      </c>
      <c r="I1027" s="50">
        <f>ROUND(F1027*AP1027,2)</f>
        <v>0</v>
      </c>
      <c r="J1027" s="50">
        <f>ROUND(F1027*G1027,2)</f>
        <v>0</v>
      </c>
      <c r="K1027" s="51" t="s">
        <v>116</v>
      </c>
      <c r="Z1027" s="50">
        <f>ROUND(IF(AQ1027="5",BJ1027,0),2)</f>
        <v>0</v>
      </c>
      <c r="AB1027" s="50">
        <f>ROUND(IF(AQ1027="1",BH1027,0),2)</f>
        <v>0</v>
      </c>
      <c r="AC1027" s="50">
        <f>ROUND(IF(AQ1027="1",BI1027,0),2)</f>
        <v>0</v>
      </c>
      <c r="AD1027" s="50">
        <f>ROUND(IF(AQ1027="7",BH1027,0),2)</f>
        <v>0</v>
      </c>
      <c r="AE1027" s="50">
        <f>ROUND(IF(AQ1027="7",BI1027,0),2)</f>
        <v>0</v>
      </c>
      <c r="AF1027" s="50">
        <f>ROUND(IF(AQ1027="2",BH1027,0),2)</f>
        <v>0</v>
      </c>
      <c r="AG1027" s="50">
        <f>ROUND(IF(AQ1027="2",BI1027,0),2)</f>
        <v>0</v>
      </c>
      <c r="AH1027" s="50">
        <f>ROUND(IF(AQ1027="0",BJ1027,0),2)</f>
        <v>0</v>
      </c>
      <c r="AI1027" s="32" t="s">
        <v>4</v>
      </c>
      <c r="AJ1027" s="50">
        <f>IF(AN1027=0,J1027,0)</f>
        <v>0</v>
      </c>
      <c r="AK1027" s="50">
        <f>IF(AN1027=12,J1027,0)</f>
        <v>0</v>
      </c>
      <c r="AL1027" s="50">
        <f>IF(AN1027=21,J1027,0)</f>
        <v>0</v>
      </c>
      <c r="AN1027" s="50">
        <v>21</v>
      </c>
      <c r="AO1027" s="50">
        <f>G1027*1</f>
        <v>0</v>
      </c>
      <c r="AP1027" s="50">
        <f>G1027*(1-1)</f>
        <v>0</v>
      </c>
      <c r="AQ1027" s="52" t="s">
        <v>132</v>
      </c>
      <c r="AV1027" s="50">
        <f>ROUND(AW1027+AX1027,2)</f>
        <v>0</v>
      </c>
      <c r="AW1027" s="50">
        <f>ROUND(F1027*AO1027,2)</f>
        <v>0</v>
      </c>
      <c r="AX1027" s="50">
        <f>ROUND(F1027*AP1027,2)</f>
        <v>0</v>
      </c>
      <c r="AY1027" s="52" t="s">
        <v>1597</v>
      </c>
      <c r="AZ1027" s="52" t="s">
        <v>1535</v>
      </c>
      <c r="BA1027" s="32" t="s">
        <v>119</v>
      </c>
      <c r="BC1027" s="50">
        <f>AW1027+AX1027</f>
        <v>0</v>
      </c>
      <c r="BD1027" s="50">
        <f>G1027/(100-BE1027)*100</f>
        <v>0</v>
      </c>
      <c r="BE1027" s="50">
        <v>0</v>
      </c>
      <c r="BF1027" s="50">
        <f>1027</f>
        <v>1027</v>
      </c>
      <c r="BH1027" s="50">
        <f>F1027*AO1027</f>
        <v>0</v>
      </c>
      <c r="BI1027" s="50">
        <f>F1027*AP1027</f>
        <v>0</v>
      </c>
      <c r="BJ1027" s="50">
        <f>F1027*G1027</f>
        <v>0</v>
      </c>
      <c r="BK1027" s="50"/>
      <c r="BL1027" s="50"/>
      <c r="BW1027" s="50">
        <v>21</v>
      </c>
      <c r="BX1027" s="3" t="s">
        <v>1632</v>
      </c>
    </row>
    <row r="1028" spans="1:76" ht="14.4" x14ac:dyDescent="0.3">
      <c r="A1028" s="53"/>
      <c r="C1028" s="54" t="s">
        <v>132</v>
      </c>
      <c r="D1028" s="54" t="s">
        <v>4</v>
      </c>
      <c r="F1028" s="55">
        <v>2</v>
      </c>
      <c r="K1028" s="56"/>
    </row>
    <row r="1029" spans="1:76" ht="14.4" x14ac:dyDescent="0.3">
      <c r="A1029" s="1" t="s">
        <v>1633</v>
      </c>
      <c r="B1029" s="2" t="s">
        <v>1634</v>
      </c>
      <c r="C1029" s="75" t="s">
        <v>1635</v>
      </c>
      <c r="D1029" s="70"/>
      <c r="E1029" s="2" t="s">
        <v>233</v>
      </c>
      <c r="F1029" s="50">
        <v>55</v>
      </c>
      <c r="G1029" s="50">
        <v>0</v>
      </c>
      <c r="H1029" s="50">
        <f>ROUND(F1029*AO1029,2)</f>
        <v>0</v>
      </c>
      <c r="I1029" s="50">
        <f>ROUND(F1029*AP1029,2)</f>
        <v>0</v>
      </c>
      <c r="J1029" s="50">
        <f>ROUND(F1029*G1029,2)</f>
        <v>0</v>
      </c>
      <c r="K1029" s="51" t="s">
        <v>116</v>
      </c>
      <c r="Z1029" s="50">
        <f>ROUND(IF(AQ1029="5",BJ1029,0),2)</f>
        <v>0</v>
      </c>
      <c r="AB1029" s="50">
        <f>ROUND(IF(AQ1029="1",BH1029,0),2)</f>
        <v>0</v>
      </c>
      <c r="AC1029" s="50">
        <f>ROUND(IF(AQ1029="1",BI1029,0),2)</f>
        <v>0</v>
      </c>
      <c r="AD1029" s="50">
        <f>ROUND(IF(AQ1029="7",BH1029,0),2)</f>
        <v>0</v>
      </c>
      <c r="AE1029" s="50">
        <f>ROUND(IF(AQ1029="7",BI1029,0),2)</f>
        <v>0</v>
      </c>
      <c r="AF1029" s="50">
        <f>ROUND(IF(AQ1029="2",BH1029,0),2)</f>
        <v>0</v>
      </c>
      <c r="AG1029" s="50">
        <f>ROUND(IF(AQ1029="2",BI1029,0),2)</f>
        <v>0</v>
      </c>
      <c r="AH1029" s="50">
        <f>ROUND(IF(AQ1029="0",BJ1029,0),2)</f>
        <v>0</v>
      </c>
      <c r="AI1029" s="32" t="s">
        <v>4</v>
      </c>
      <c r="AJ1029" s="50">
        <f>IF(AN1029=0,J1029,0)</f>
        <v>0</v>
      </c>
      <c r="AK1029" s="50">
        <f>IF(AN1029=12,J1029,0)</f>
        <v>0</v>
      </c>
      <c r="AL1029" s="50">
        <f>IF(AN1029=21,J1029,0)</f>
        <v>0</v>
      </c>
      <c r="AN1029" s="50">
        <v>21</v>
      </c>
      <c r="AO1029" s="50">
        <f>G1029*0.342113821</f>
        <v>0</v>
      </c>
      <c r="AP1029" s="50">
        <f>G1029*(1-0.342113821)</f>
        <v>0</v>
      </c>
      <c r="AQ1029" s="52" t="s">
        <v>132</v>
      </c>
      <c r="AV1029" s="50">
        <f>ROUND(AW1029+AX1029,2)</f>
        <v>0</v>
      </c>
      <c r="AW1029" s="50">
        <f>ROUND(F1029*AO1029,2)</f>
        <v>0</v>
      </c>
      <c r="AX1029" s="50">
        <f>ROUND(F1029*AP1029,2)</f>
        <v>0</v>
      </c>
      <c r="AY1029" s="52" t="s">
        <v>1597</v>
      </c>
      <c r="AZ1029" s="52" t="s">
        <v>1535</v>
      </c>
      <c r="BA1029" s="32" t="s">
        <v>119</v>
      </c>
      <c r="BC1029" s="50">
        <f>AW1029+AX1029</f>
        <v>0</v>
      </c>
      <c r="BD1029" s="50">
        <f>G1029/(100-BE1029)*100</f>
        <v>0</v>
      </c>
      <c r="BE1029" s="50">
        <v>0</v>
      </c>
      <c r="BF1029" s="50">
        <f>1029</f>
        <v>1029</v>
      </c>
      <c r="BH1029" s="50">
        <f>F1029*AO1029</f>
        <v>0</v>
      </c>
      <c r="BI1029" s="50">
        <f>F1029*AP1029</f>
        <v>0</v>
      </c>
      <c r="BJ1029" s="50">
        <f>F1029*G1029</f>
        <v>0</v>
      </c>
      <c r="BK1029" s="50"/>
      <c r="BL1029" s="50"/>
      <c r="BW1029" s="50">
        <v>21</v>
      </c>
      <c r="BX1029" s="3" t="s">
        <v>1635</v>
      </c>
    </row>
    <row r="1030" spans="1:76" ht="13.5" customHeight="1" x14ac:dyDescent="0.3">
      <c r="A1030" s="53"/>
      <c r="B1030" s="57" t="s">
        <v>198</v>
      </c>
      <c r="C1030" s="150" t="s">
        <v>1636</v>
      </c>
      <c r="D1030" s="151"/>
      <c r="E1030" s="151"/>
      <c r="F1030" s="151"/>
      <c r="G1030" s="151"/>
      <c r="H1030" s="151"/>
      <c r="I1030" s="151"/>
      <c r="J1030" s="151"/>
      <c r="K1030" s="152"/>
    </row>
    <row r="1031" spans="1:76" ht="14.4" x14ac:dyDescent="0.3">
      <c r="A1031" s="53"/>
      <c r="C1031" s="54" t="s">
        <v>397</v>
      </c>
      <c r="D1031" s="54" t="s">
        <v>4</v>
      </c>
      <c r="F1031" s="55">
        <v>55</v>
      </c>
      <c r="K1031" s="56"/>
    </row>
    <row r="1032" spans="1:76" ht="14.4" x14ac:dyDescent="0.3">
      <c r="A1032" s="1" t="s">
        <v>1637</v>
      </c>
      <c r="B1032" s="2" t="s">
        <v>1638</v>
      </c>
      <c r="C1032" s="75" t="s">
        <v>1639</v>
      </c>
      <c r="D1032" s="70"/>
      <c r="E1032" s="2" t="s">
        <v>278</v>
      </c>
      <c r="F1032" s="50">
        <v>44</v>
      </c>
      <c r="G1032" s="50">
        <v>0</v>
      </c>
      <c r="H1032" s="50">
        <f>ROUND(F1032*AO1032,2)</f>
        <v>0</v>
      </c>
      <c r="I1032" s="50">
        <f>ROUND(F1032*AP1032,2)</f>
        <v>0</v>
      </c>
      <c r="J1032" s="50">
        <f>ROUND(F1032*G1032,2)</f>
        <v>0</v>
      </c>
      <c r="K1032" s="51" t="s">
        <v>116</v>
      </c>
      <c r="Z1032" s="50">
        <f>ROUND(IF(AQ1032="5",BJ1032,0),2)</f>
        <v>0</v>
      </c>
      <c r="AB1032" s="50">
        <f>ROUND(IF(AQ1032="1",BH1032,0),2)</f>
        <v>0</v>
      </c>
      <c r="AC1032" s="50">
        <f>ROUND(IF(AQ1032="1",BI1032,0),2)</f>
        <v>0</v>
      </c>
      <c r="AD1032" s="50">
        <f>ROUND(IF(AQ1032="7",BH1032,0),2)</f>
        <v>0</v>
      </c>
      <c r="AE1032" s="50">
        <f>ROUND(IF(AQ1032="7",BI1032,0),2)</f>
        <v>0</v>
      </c>
      <c r="AF1032" s="50">
        <f>ROUND(IF(AQ1032="2",BH1032,0),2)</f>
        <v>0</v>
      </c>
      <c r="AG1032" s="50">
        <f>ROUND(IF(AQ1032="2",BI1032,0),2)</f>
        <v>0</v>
      </c>
      <c r="AH1032" s="50">
        <f>ROUND(IF(AQ1032="0",BJ1032,0),2)</f>
        <v>0</v>
      </c>
      <c r="AI1032" s="32" t="s">
        <v>4</v>
      </c>
      <c r="AJ1032" s="50">
        <f>IF(AN1032=0,J1032,0)</f>
        <v>0</v>
      </c>
      <c r="AK1032" s="50">
        <f>IF(AN1032=12,J1032,0)</f>
        <v>0</v>
      </c>
      <c r="AL1032" s="50">
        <f>IF(AN1032=21,J1032,0)</f>
        <v>0</v>
      </c>
      <c r="AN1032" s="50">
        <v>21</v>
      </c>
      <c r="AO1032" s="50">
        <f>G1032*0.103769689</f>
        <v>0</v>
      </c>
      <c r="AP1032" s="50">
        <f>G1032*(1-0.103769689)</f>
        <v>0</v>
      </c>
      <c r="AQ1032" s="52" t="s">
        <v>132</v>
      </c>
      <c r="AV1032" s="50">
        <f>ROUND(AW1032+AX1032,2)</f>
        <v>0</v>
      </c>
      <c r="AW1032" s="50">
        <f>ROUND(F1032*AO1032,2)</f>
        <v>0</v>
      </c>
      <c r="AX1032" s="50">
        <f>ROUND(F1032*AP1032,2)</f>
        <v>0</v>
      </c>
      <c r="AY1032" s="52" t="s">
        <v>1597</v>
      </c>
      <c r="AZ1032" s="52" t="s">
        <v>1535</v>
      </c>
      <c r="BA1032" s="32" t="s">
        <v>119</v>
      </c>
      <c r="BC1032" s="50">
        <f>AW1032+AX1032</f>
        <v>0</v>
      </c>
      <c r="BD1032" s="50">
        <f>G1032/(100-BE1032)*100</f>
        <v>0</v>
      </c>
      <c r="BE1032" s="50">
        <v>0</v>
      </c>
      <c r="BF1032" s="50">
        <f>1032</f>
        <v>1032</v>
      </c>
      <c r="BH1032" s="50">
        <f>F1032*AO1032</f>
        <v>0</v>
      </c>
      <c r="BI1032" s="50">
        <f>F1032*AP1032</f>
        <v>0</v>
      </c>
      <c r="BJ1032" s="50">
        <f>F1032*G1032</f>
        <v>0</v>
      </c>
      <c r="BK1032" s="50"/>
      <c r="BL1032" s="50"/>
      <c r="BW1032" s="50">
        <v>21</v>
      </c>
      <c r="BX1032" s="3" t="s">
        <v>1639</v>
      </c>
    </row>
    <row r="1033" spans="1:76" ht="13.5" customHeight="1" x14ac:dyDescent="0.3">
      <c r="A1033" s="53"/>
      <c r="B1033" s="57" t="s">
        <v>198</v>
      </c>
      <c r="C1033" s="150" t="s">
        <v>1640</v>
      </c>
      <c r="D1033" s="151"/>
      <c r="E1033" s="151"/>
      <c r="F1033" s="151"/>
      <c r="G1033" s="151"/>
      <c r="H1033" s="151"/>
      <c r="I1033" s="151"/>
      <c r="J1033" s="151"/>
      <c r="K1033" s="152"/>
    </row>
    <row r="1034" spans="1:76" ht="14.4" x14ac:dyDescent="0.3">
      <c r="A1034" s="53"/>
      <c r="C1034" s="54" t="s">
        <v>221</v>
      </c>
      <c r="D1034" s="54" t="s">
        <v>4</v>
      </c>
      <c r="F1034" s="55">
        <v>44</v>
      </c>
      <c r="K1034" s="56"/>
    </row>
    <row r="1035" spans="1:76" ht="14.4" x14ac:dyDescent="0.3">
      <c r="A1035" s="1" t="s">
        <v>1641</v>
      </c>
      <c r="B1035" s="2" t="s">
        <v>1642</v>
      </c>
      <c r="C1035" s="75" t="s">
        <v>1643</v>
      </c>
      <c r="D1035" s="70"/>
      <c r="E1035" s="2" t="s">
        <v>278</v>
      </c>
      <c r="F1035" s="50">
        <v>10</v>
      </c>
      <c r="G1035" s="50">
        <v>0</v>
      </c>
      <c r="H1035" s="50">
        <f>ROUND(F1035*AO1035,2)</f>
        <v>0</v>
      </c>
      <c r="I1035" s="50">
        <f>ROUND(F1035*AP1035,2)</f>
        <v>0</v>
      </c>
      <c r="J1035" s="50">
        <f>ROUND(F1035*G1035,2)</f>
        <v>0</v>
      </c>
      <c r="K1035" s="51" t="s">
        <v>116</v>
      </c>
      <c r="Z1035" s="50">
        <f>ROUND(IF(AQ1035="5",BJ1035,0),2)</f>
        <v>0</v>
      </c>
      <c r="AB1035" s="50">
        <f>ROUND(IF(AQ1035="1",BH1035,0),2)</f>
        <v>0</v>
      </c>
      <c r="AC1035" s="50">
        <f>ROUND(IF(AQ1035="1",BI1035,0),2)</f>
        <v>0</v>
      </c>
      <c r="AD1035" s="50">
        <f>ROUND(IF(AQ1035="7",BH1035,0),2)</f>
        <v>0</v>
      </c>
      <c r="AE1035" s="50">
        <f>ROUND(IF(AQ1035="7",BI1035,0),2)</f>
        <v>0</v>
      </c>
      <c r="AF1035" s="50">
        <f>ROUND(IF(AQ1035="2",BH1035,0),2)</f>
        <v>0</v>
      </c>
      <c r="AG1035" s="50">
        <f>ROUND(IF(AQ1035="2",BI1035,0),2)</f>
        <v>0</v>
      </c>
      <c r="AH1035" s="50">
        <f>ROUND(IF(AQ1035="0",BJ1035,0),2)</f>
        <v>0</v>
      </c>
      <c r="AI1035" s="32" t="s">
        <v>4</v>
      </c>
      <c r="AJ1035" s="50">
        <f>IF(AN1035=0,J1035,0)</f>
        <v>0</v>
      </c>
      <c r="AK1035" s="50">
        <f>IF(AN1035=12,J1035,0)</f>
        <v>0</v>
      </c>
      <c r="AL1035" s="50">
        <f>IF(AN1035=21,J1035,0)</f>
        <v>0</v>
      </c>
      <c r="AN1035" s="50">
        <v>21</v>
      </c>
      <c r="AO1035" s="50">
        <f>G1035*0.14328125</f>
        <v>0</v>
      </c>
      <c r="AP1035" s="50">
        <f>G1035*(1-0.14328125)</f>
        <v>0</v>
      </c>
      <c r="AQ1035" s="52" t="s">
        <v>132</v>
      </c>
      <c r="AV1035" s="50">
        <f>ROUND(AW1035+AX1035,2)</f>
        <v>0</v>
      </c>
      <c r="AW1035" s="50">
        <f>ROUND(F1035*AO1035,2)</f>
        <v>0</v>
      </c>
      <c r="AX1035" s="50">
        <f>ROUND(F1035*AP1035,2)</f>
        <v>0</v>
      </c>
      <c r="AY1035" s="52" t="s">
        <v>1597</v>
      </c>
      <c r="AZ1035" s="52" t="s">
        <v>1535</v>
      </c>
      <c r="BA1035" s="32" t="s">
        <v>119</v>
      </c>
      <c r="BC1035" s="50">
        <f>AW1035+AX1035</f>
        <v>0</v>
      </c>
      <c r="BD1035" s="50">
        <f>G1035/(100-BE1035)*100</f>
        <v>0</v>
      </c>
      <c r="BE1035" s="50">
        <v>0</v>
      </c>
      <c r="BF1035" s="50">
        <f>1035</f>
        <v>1035</v>
      </c>
      <c r="BH1035" s="50">
        <f>F1035*AO1035</f>
        <v>0</v>
      </c>
      <c r="BI1035" s="50">
        <f>F1035*AP1035</f>
        <v>0</v>
      </c>
      <c r="BJ1035" s="50">
        <f>F1035*G1035</f>
        <v>0</v>
      </c>
      <c r="BK1035" s="50"/>
      <c r="BL1035" s="50"/>
      <c r="BW1035" s="50">
        <v>21</v>
      </c>
      <c r="BX1035" s="3" t="s">
        <v>1643</v>
      </c>
    </row>
    <row r="1036" spans="1:76" ht="13.5" customHeight="1" x14ac:dyDescent="0.3">
      <c r="A1036" s="53"/>
      <c r="B1036" s="57" t="s">
        <v>198</v>
      </c>
      <c r="C1036" s="150" t="s">
        <v>1644</v>
      </c>
      <c r="D1036" s="151"/>
      <c r="E1036" s="151"/>
      <c r="F1036" s="151"/>
      <c r="G1036" s="151"/>
      <c r="H1036" s="151"/>
      <c r="I1036" s="151"/>
      <c r="J1036" s="151"/>
      <c r="K1036" s="152"/>
    </row>
    <row r="1037" spans="1:76" ht="14.4" x14ac:dyDescent="0.3">
      <c r="A1037" s="53"/>
      <c r="C1037" s="54" t="s">
        <v>170</v>
      </c>
      <c r="D1037" s="54" t="s">
        <v>4</v>
      </c>
      <c r="F1037" s="55">
        <v>10</v>
      </c>
      <c r="K1037" s="56"/>
    </row>
    <row r="1038" spans="1:76" ht="14.4" x14ac:dyDescent="0.3">
      <c r="A1038" s="1" t="s">
        <v>1645</v>
      </c>
      <c r="B1038" s="2" t="s">
        <v>1646</v>
      </c>
      <c r="C1038" s="75" t="s">
        <v>1639</v>
      </c>
      <c r="D1038" s="70"/>
      <c r="E1038" s="2" t="s">
        <v>278</v>
      </c>
      <c r="F1038" s="50">
        <v>7</v>
      </c>
      <c r="G1038" s="50">
        <v>0</v>
      </c>
      <c r="H1038" s="50">
        <f>ROUND(F1038*AO1038,2)</f>
        <v>0</v>
      </c>
      <c r="I1038" s="50">
        <f>ROUND(F1038*AP1038,2)</f>
        <v>0</v>
      </c>
      <c r="J1038" s="50">
        <f>ROUND(F1038*G1038,2)</f>
        <v>0</v>
      </c>
      <c r="K1038" s="51" t="s">
        <v>116</v>
      </c>
      <c r="Z1038" s="50">
        <f>ROUND(IF(AQ1038="5",BJ1038,0),2)</f>
        <v>0</v>
      </c>
      <c r="AB1038" s="50">
        <f>ROUND(IF(AQ1038="1",BH1038,0),2)</f>
        <v>0</v>
      </c>
      <c r="AC1038" s="50">
        <f>ROUND(IF(AQ1038="1",BI1038,0),2)</f>
        <v>0</v>
      </c>
      <c r="AD1038" s="50">
        <f>ROUND(IF(AQ1038="7",BH1038,0),2)</f>
        <v>0</v>
      </c>
      <c r="AE1038" s="50">
        <f>ROUND(IF(AQ1038="7",BI1038,0),2)</f>
        <v>0</v>
      </c>
      <c r="AF1038" s="50">
        <f>ROUND(IF(AQ1038="2",BH1038,0),2)</f>
        <v>0</v>
      </c>
      <c r="AG1038" s="50">
        <f>ROUND(IF(AQ1038="2",BI1038,0),2)</f>
        <v>0</v>
      </c>
      <c r="AH1038" s="50">
        <f>ROUND(IF(AQ1038="0",BJ1038,0),2)</f>
        <v>0</v>
      </c>
      <c r="AI1038" s="32" t="s">
        <v>4</v>
      </c>
      <c r="AJ1038" s="50">
        <f>IF(AN1038=0,J1038,0)</f>
        <v>0</v>
      </c>
      <c r="AK1038" s="50">
        <f>IF(AN1038=12,J1038,0)</f>
        <v>0</v>
      </c>
      <c r="AL1038" s="50">
        <f>IF(AN1038=21,J1038,0)</f>
        <v>0</v>
      </c>
      <c r="AN1038" s="50">
        <v>21</v>
      </c>
      <c r="AO1038" s="50">
        <f>G1038*0.248135895</f>
        <v>0</v>
      </c>
      <c r="AP1038" s="50">
        <f>G1038*(1-0.248135895)</f>
        <v>0</v>
      </c>
      <c r="AQ1038" s="52" t="s">
        <v>132</v>
      </c>
      <c r="AV1038" s="50">
        <f>ROUND(AW1038+AX1038,2)</f>
        <v>0</v>
      </c>
      <c r="AW1038" s="50">
        <f>ROUND(F1038*AO1038,2)</f>
        <v>0</v>
      </c>
      <c r="AX1038" s="50">
        <f>ROUND(F1038*AP1038,2)</f>
        <v>0</v>
      </c>
      <c r="AY1038" s="52" t="s">
        <v>1597</v>
      </c>
      <c r="AZ1038" s="52" t="s">
        <v>1535</v>
      </c>
      <c r="BA1038" s="32" t="s">
        <v>119</v>
      </c>
      <c r="BC1038" s="50">
        <f>AW1038+AX1038</f>
        <v>0</v>
      </c>
      <c r="BD1038" s="50">
        <f>G1038/(100-BE1038)*100</f>
        <v>0</v>
      </c>
      <c r="BE1038" s="50">
        <v>0</v>
      </c>
      <c r="BF1038" s="50">
        <f>1038</f>
        <v>1038</v>
      </c>
      <c r="BH1038" s="50">
        <f>F1038*AO1038</f>
        <v>0</v>
      </c>
      <c r="BI1038" s="50">
        <f>F1038*AP1038</f>
        <v>0</v>
      </c>
      <c r="BJ1038" s="50">
        <f>F1038*G1038</f>
        <v>0</v>
      </c>
      <c r="BK1038" s="50"/>
      <c r="BL1038" s="50"/>
      <c r="BW1038" s="50">
        <v>21</v>
      </c>
      <c r="BX1038" s="3" t="s">
        <v>1639</v>
      </c>
    </row>
    <row r="1039" spans="1:76" ht="13.5" customHeight="1" x14ac:dyDescent="0.3">
      <c r="A1039" s="53"/>
      <c r="B1039" s="57" t="s">
        <v>198</v>
      </c>
      <c r="C1039" s="150" t="s">
        <v>1647</v>
      </c>
      <c r="D1039" s="151"/>
      <c r="E1039" s="151"/>
      <c r="F1039" s="151"/>
      <c r="G1039" s="151"/>
      <c r="H1039" s="151"/>
      <c r="I1039" s="151"/>
      <c r="J1039" s="151"/>
      <c r="K1039" s="152"/>
    </row>
    <row r="1040" spans="1:76" ht="14.4" x14ac:dyDescent="0.3">
      <c r="A1040" s="53"/>
      <c r="C1040" s="54" t="s">
        <v>158</v>
      </c>
      <c r="D1040" s="54" t="s">
        <v>4</v>
      </c>
      <c r="F1040" s="55">
        <v>7</v>
      </c>
      <c r="K1040" s="56"/>
    </row>
    <row r="1041" spans="1:76" ht="14.4" x14ac:dyDescent="0.3">
      <c r="A1041" s="1" t="s">
        <v>1648</v>
      </c>
      <c r="B1041" s="2" t="s">
        <v>1649</v>
      </c>
      <c r="C1041" s="75" t="s">
        <v>1639</v>
      </c>
      <c r="D1041" s="70"/>
      <c r="E1041" s="2" t="s">
        <v>278</v>
      </c>
      <c r="F1041" s="50">
        <v>18</v>
      </c>
      <c r="G1041" s="50">
        <v>0</v>
      </c>
      <c r="H1041" s="50">
        <f>ROUND(F1041*AO1041,2)</f>
        <v>0</v>
      </c>
      <c r="I1041" s="50">
        <f>ROUND(F1041*AP1041,2)</f>
        <v>0</v>
      </c>
      <c r="J1041" s="50">
        <f>ROUND(F1041*G1041,2)</f>
        <v>0</v>
      </c>
      <c r="K1041" s="51" t="s">
        <v>116</v>
      </c>
      <c r="Z1041" s="50">
        <f>ROUND(IF(AQ1041="5",BJ1041,0),2)</f>
        <v>0</v>
      </c>
      <c r="AB1041" s="50">
        <f>ROUND(IF(AQ1041="1",BH1041,0),2)</f>
        <v>0</v>
      </c>
      <c r="AC1041" s="50">
        <f>ROUND(IF(AQ1041="1",BI1041,0),2)</f>
        <v>0</v>
      </c>
      <c r="AD1041" s="50">
        <f>ROUND(IF(AQ1041="7",BH1041,0),2)</f>
        <v>0</v>
      </c>
      <c r="AE1041" s="50">
        <f>ROUND(IF(AQ1041="7",BI1041,0),2)</f>
        <v>0</v>
      </c>
      <c r="AF1041" s="50">
        <f>ROUND(IF(AQ1041="2",BH1041,0),2)</f>
        <v>0</v>
      </c>
      <c r="AG1041" s="50">
        <f>ROUND(IF(AQ1041="2",BI1041,0),2)</f>
        <v>0</v>
      </c>
      <c r="AH1041" s="50">
        <f>ROUND(IF(AQ1041="0",BJ1041,0),2)</f>
        <v>0</v>
      </c>
      <c r="AI1041" s="32" t="s">
        <v>4</v>
      </c>
      <c r="AJ1041" s="50">
        <f>IF(AN1041=0,J1041,0)</f>
        <v>0</v>
      </c>
      <c r="AK1041" s="50">
        <f>IF(AN1041=12,J1041,0)</f>
        <v>0</v>
      </c>
      <c r="AL1041" s="50">
        <f>IF(AN1041=21,J1041,0)</f>
        <v>0</v>
      </c>
      <c r="AN1041" s="50">
        <v>21</v>
      </c>
      <c r="AO1041" s="50">
        <f>G1041*0.279844925</f>
        <v>0</v>
      </c>
      <c r="AP1041" s="50">
        <f>G1041*(1-0.279844925)</f>
        <v>0</v>
      </c>
      <c r="AQ1041" s="52" t="s">
        <v>132</v>
      </c>
      <c r="AV1041" s="50">
        <f>ROUND(AW1041+AX1041,2)</f>
        <v>0</v>
      </c>
      <c r="AW1041" s="50">
        <f>ROUND(F1041*AO1041,2)</f>
        <v>0</v>
      </c>
      <c r="AX1041" s="50">
        <f>ROUND(F1041*AP1041,2)</f>
        <v>0</v>
      </c>
      <c r="AY1041" s="52" t="s">
        <v>1597</v>
      </c>
      <c r="AZ1041" s="52" t="s">
        <v>1535</v>
      </c>
      <c r="BA1041" s="32" t="s">
        <v>119</v>
      </c>
      <c r="BC1041" s="50">
        <f>AW1041+AX1041</f>
        <v>0</v>
      </c>
      <c r="BD1041" s="50">
        <f>G1041/(100-BE1041)*100</f>
        <v>0</v>
      </c>
      <c r="BE1041" s="50">
        <v>0</v>
      </c>
      <c r="BF1041" s="50">
        <f>1041</f>
        <v>1041</v>
      </c>
      <c r="BH1041" s="50">
        <f>F1041*AO1041</f>
        <v>0</v>
      </c>
      <c r="BI1041" s="50">
        <f>F1041*AP1041</f>
        <v>0</v>
      </c>
      <c r="BJ1041" s="50">
        <f>F1041*G1041</f>
        <v>0</v>
      </c>
      <c r="BK1041" s="50"/>
      <c r="BL1041" s="50"/>
      <c r="BW1041" s="50">
        <v>21</v>
      </c>
      <c r="BX1041" s="3" t="s">
        <v>1639</v>
      </c>
    </row>
    <row r="1042" spans="1:76" ht="13.5" customHeight="1" x14ac:dyDescent="0.3">
      <c r="A1042" s="53"/>
      <c r="B1042" s="57" t="s">
        <v>198</v>
      </c>
      <c r="C1042" s="150" t="s">
        <v>1650</v>
      </c>
      <c r="D1042" s="151"/>
      <c r="E1042" s="151"/>
      <c r="F1042" s="151"/>
      <c r="G1042" s="151"/>
      <c r="H1042" s="151"/>
      <c r="I1042" s="151"/>
      <c r="J1042" s="151"/>
      <c r="K1042" s="152"/>
    </row>
    <row r="1043" spans="1:76" ht="14.4" x14ac:dyDescent="0.3">
      <c r="A1043" s="53"/>
      <c r="C1043" s="54" t="s">
        <v>211</v>
      </c>
      <c r="D1043" s="54" t="s">
        <v>4</v>
      </c>
      <c r="F1043" s="55">
        <v>18</v>
      </c>
      <c r="K1043" s="56"/>
    </row>
    <row r="1044" spans="1:76" ht="14.4" x14ac:dyDescent="0.3">
      <c r="A1044" s="1" t="s">
        <v>1651</v>
      </c>
      <c r="B1044" s="2" t="s">
        <v>1652</v>
      </c>
      <c r="C1044" s="75" t="s">
        <v>1653</v>
      </c>
      <c r="D1044" s="70"/>
      <c r="E1044" s="2" t="s">
        <v>233</v>
      </c>
      <c r="F1044" s="50">
        <v>200</v>
      </c>
      <c r="G1044" s="50">
        <v>0</v>
      </c>
      <c r="H1044" s="50">
        <f>ROUND(F1044*AO1044,2)</f>
        <v>0</v>
      </c>
      <c r="I1044" s="50">
        <f>ROUND(F1044*AP1044,2)</f>
        <v>0</v>
      </c>
      <c r="J1044" s="50">
        <f>ROUND(F1044*G1044,2)</f>
        <v>0</v>
      </c>
      <c r="K1044" s="51" t="s">
        <v>116</v>
      </c>
      <c r="Z1044" s="50">
        <f>ROUND(IF(AQ1044="5",BJ1044,0),2)</f>
        <v>0</v>
      </c>
      <c r="AB1044" s="50">
        <f>ROUND(IF(AQ1044="1",BH1044,0),2)</f>
        <v>0</v>
      </c>
      <c r="AC1044" s="50">
        <f>ROUND(IF(AQ1044="1",BI1044,0),2)</f>
        <v>0</v>
      </c>
      <c r="AD1044" s="50">
        <f>ROUND(IF(AQ1044="7",BH1044,0),2)</f>
        <v>0</v>
      </c>
      <c r="AE1044" s="50">
        <f>ROUND(IF(AQ1044="7",BI1044,0),2)</f>
        <v>0</v>
      </c>
      <c r="AF1044" s="50">
        <f>ROUND(IF(AQ1044="2",BH1044,0),2)</f>
        <v>0</v>
      </c>
      <c r="AG1044" s="50">
        <f>ROUND(IF(AQ1044="2",BI1044,0),2)</f>
        <v>0</v>
      </c>
      <c r="AH1044" s="50">
        <f>ROUND(IF(AQ1044="0",BJ1044,0),2)</f>
        <v>0</v>
      </c>
      <c r="AI1044" s="32" t="s">
        <v>4</v>
      </c>
      <c r="AJ1044" s="50">
        <f>IF(AN1044=0,J1044,0)</f>
        <v>0</v>
      </c>
      <c r="AK1044" s="50">
        <f>IF(AN1044=12,J1044,0)</f>
        <v>0</v>
      </c>
      <c r="AL1044" s="50">
        <f>IF(AN1044=21,J1044,0)</f>
        <v>0</v>
      </c>
      <c r="AN1044" s="50">
        <v>21</v>
      </c>
      <c r="AO1044" s="50">
        <f>G1044*0.341967078</f>
        <v>0</v>
      </c>
      <c r="AP1044" s="50">
        <f>G1044*(1-0.341967078)</f>
        <v>0</v>
      </c>
      <c r="AQ1044" s="52" t="s">
        <v>132</v>
      </c>
      <c r="AV1044" s="50">
        <f>ROUND(AW1044+AX1044,2)</f>
        <v>0</v>
      </c>
      <c r="AW1044" s="50">
        <f>ROUND(F1044*AO1044,2)</f>
        <v>0</v>
      </c>
      <c r="AX1044" s="50">
        <f>ROUND(F1044*AP1044,2)</f>
        <v>0</v>
      </c>
      <c r="AY1044" s="52" t="s">
        <v>1597</v>
      </c>
      <c r="AZ1044" s="52" t="s">
        <v>1535</v>
      </c>
      <c r="BA1044" s="32" t="s">
        <v>119</v>
      </c>
      <c r="BC1044" s="50">
        <f>AW1044+AX1044</f>
        <v>0</v>
      </c>
      <c r="BD1044" s="50">
        <f>G1044/(100-BE1044)*100</f>
        <v>0</v>
      </c>
      <c r="BE1044" s="50">
        <v>0</v>
      </c>
      <c r="BF1044" s="50">
        <f>1044</f>
        <v>1044</v>
      </c>
      <c r="BH1044" s="50">
        <f>F1044*AO1044</f>
        <v>0</v>
      </c>
      <c r="BI1044" s="50">
        <f>F1044*AP1044</f>
        <v>0</v>
      </c>
      <c r="BJ1044" s="50">
        <f>F1044*G1044</f>
        <v>0</v>
      </c>
      <c r="BK1044" s="50"/>
      <c r="BL1044" s="50"/>
      <c r="BW1044" s="50">
        <v>21</v>
      </c>
      <c r="BX1044" s="3" t="s">
        <v>1653</v>
      </c>
    </row>
    <row r="1045" spans="1:76" ht="13.5" customHeight="1" x14ac:dyDescent="0.3">
      <c r="A1045" s="53"/>
      <c r="B1045" s="57" t="s">
        <v>198</v>
      </c>
      <c r="C1045" s="150" t="s">
        <v>1654</v>
      </c>
      <c r="D1045" s="151"/>
      <c r="E1045" s="151"/>
      <c r="F1045" s="151"/>
      <c r="G1045" s="151"/>
      <c r="H1045" s="151"/>
      <c r="I1045" s="151"/>
      <c r="J1045" s="151"/>
      <c r="K1045" s="152"/>
    </row>
    <row r="1046" spans="1:76" ht="14.4" x14ac:dyDescent="0.3">
      <c r="A1046" s="53"/>
      <c r="C1046" s="54" t="s">
        <v>1030</v>
      </c>
      <c r="D1046" s="54" t="s">
        <v>4</v>
      </c>
      <c r="F1046" s="55">
        <v>200</v>
      </c>
      <c r="K1046" s="56"/>
    </row>
    <row r="1047" spans="1:76" ht="14.4" x14ac:dyDescent="0.3">
      <c r="A1047" s="1" t="s">
        <v>1655</v>
      </c>
      <c r="B1047" s="2" t="s">
        <v>1656</v>
      </c>
      <c r="C1047" s="75" t="s">
        <v>1657</v>
      </c>
      <c r="D1047" s="70"/>
      <c r="E1047" s="2" t="s">
        <v>233</v>
      </c>
      <c r="F1047" s="50">
        <v>24</v>
      </c>
      <c r="G1047" s="50">
        <v>0</v>
      </c>
      <c r="H1047" s="50">
        <f>ROUND(F1047*AO1047,2)</f>
        <v>0</v>
      </c>
      <c r="I1047" s="50">
        <f>ROUND(F1047*AP1047,2)</f>
        <v>0</v>
      </c>
      <c r="J1047" s="50">
        <f>ROUND(F1047*G1047,2)</f>
        <v>0</v>
      </c>
      <c r="K1047" s="51" t="s">
        <v>116</v>
      </c>
      <c r="Z1047" s="50">
        <f>ROUND(IF(AQ1047="5",BJ1047,0),2)</f>
        <v>0</v>
      </c>
      <c r="AB1047" s="50">
        <f>ROUND(IF(AQ1047="1",BH1047,0),2)</f>
        <v>0</v>
      </c>
      <c r="AC1047" s="50">
        <f>ROUND(IF(AQ1047="1",BI1047,0),2)</f>
        <v>0</v>
      </c>
      <c r="AD1047" s="50">
        <f>ROUND(IF(AQ1047="7",BH1047,0),2)</f>
        <v>0</v>
      </c>
      <c r="AE1047" s="50">
        <f>ROUND(IF(AQ1047="7",BI1047,0),2)</f>
        <v>0</v>
      </c>
      <c r="AF1047" s="50">
        <f>ROUND(IF(AQ1047="2",BH1047,0),2)</f>
        <v>0</v>
      </c>
      <c r="AG1047" s="50">
        <f>ROUND(IF(AQ1047="2",BI1047,0),2)</f>
        <v>0</v>
      </c>
      <c r="AH1047" s="50">
        <f>ROUND(IF(AQ1047="0",BJ1047,0),2)</f>
        <v>0</v>
      </c>
      <c r="AI1047" s="32" t="s">
        <v>4</v>
      </c>
      <c r="AJ1047" s="50">
        <f>IF(AN1047=0,J1047,0)</f>
        <v>0</v>
      </c>
      <c r="AK1047" s="50">
        <f>IF(AN1047=12,J1047,0)</f>
        <v>0</v>
      </c>
      <c r="AL1047" s="50">
        <f>IF(AN1047=21,J1047,0)</f>
        <v>0</v>
      </c>
      <c r="AN1047" s="50">
        <v>21</v>
      </c>
      <c r="AO1047" s="50">
        <f>G1047*0.341967078</f>
        <v>0</v>
      </c>
      <c r="AP1047" s="50">
        <f>G1047*(1-0.341967078)</f>
        <v>0</v>
      </c>
      <c r="AQ1047" s="52" t="s">
        <v>132</v>
      </c>
      <c r="AV1047" s="50">
        <f>ROUND(AW1047+AX1047,2)</f>
        <v>0</v>
      </c>
      <c r="AW1047" s="50">
        <f>ROUND(F1047*AO1047,2)</f>
        <v>0</v>
      </c>
      <c r="AX1047" s="50">
        <f>ROUND(F1047*AP1047,2)</f>
        <v>0</v>
      </c>
      <c r="AY1047" s="52" t="s">
        <v>1597</v>
      </c>
      <c r="AZ1047" s="52" t="s">
        <v>1535</v>
      </c>
      <c r="BA1047" s="32" t="s">
        <v>119</v>
      </c>
      <c r="BC1047" s="50">
        <f>AW1047+AX1047</f>
        <v>0</v>
      </c>
      <c r="BD1047" s="50">
        <f>G1047/(100-BE1047)*100</f>
        <v>0</v>
      </c>
      <c r="BE1047" s="50">
        <v>0</v>
      </c>
      <c r="BF1047" s="50">
        <f>1047</f>
        <v>1047</v>
      </c>
      <c r="BH1047" s="50">
        <f>F1047*AO1047</f>
        <v>0</v>
      </c>
      <c r="BI1047" s="50">
        <f>F1047*AP1047</f>
        <v>0</v>
      </c>
      <c r="BJ1047" s="50">
        <f>F1047*G1047</f>
        <v>0</v>
      </c>
      <c r="BK1047" s="50"/>
      <c r="BL1047" s="50"/>
      <c r="BW1047" s="50">
        <v>21</v>
      </c>
      <c r="BX1047" s="3" t="s">
        <v>1657</v>
      </c>
    </row>
    <row r="1048" spans="1:76" ht="13.5" customHeight="1" x14ac:dyDescent="0.3">
      <c r="A1048" s="53"/>
      <c r="B1048" s="57" t="s">
        <v>198</v>
      </c>
      <c r="C1048" s="150" t="s">
        <v>1658</v>
      </c>
      <c r="D1048" s="151"/>
      <c r="E1048" s="151"/>
      <c r="F1048" s="151"/>
      <c r="G1048" s="151"/>
      <c r="H1048" s="151"/>
      <c r="I1048" s="151"/>
      <c r="J1048" s="151"/>
      <c r="K1048" s="152"/>
    </row>
    <row r="1049" spans="1:76" ht="14.4" x14ac:dyDescent="0.3">
      <c r="A1049" s="53"/>
      <c r="C1049" s="54" t="s">
        <v>254</v>
      </c>
      <c r="D1049" s="54" t="s">
        <v>4</v>
      </c>
      <c r="F1049" s="55">
        <v>24</v>
      </c>
      <c r="K1049" s="56"/>
    </row>
    <row r="1050" spans="1:76" ht="14.4" x14ac:dyDescent="0.3">
      <c r="A1050" s="1" t="s">
        <v>1659</v>
      </c>
      <c r="B1050" s="2" t="s">
        <v>1660</v>
      </c>
      <c r="C1050" s="75" t="s">
        <v>1661</v>
      </c>
      <c r="D1050" s="70"/>
      <c r="E1050" s="2" t="s">
        <v>233</v>
      </c>
      <c r="F1050" s="50">
        <v>9</v>
      </c>
      <c r="G1050" s="50">
        <v>0</v>
      </c>
      <c r="H1050" s="50">
        <f>ROUND(F1050*AO1050,2)</f>
        <v>0</v>
      </c>
      <c r="I1050" s="50">
        <f>ROUND(F1050*AP1050,2)</f>
        <v>0</v>
      </c>
      <c r="J1050" s="50">
        <f>ROUND(F1050*G1050,2)</f>
        <v>0</v>
      </c>
      <c r="K1050" s="51" t="s">
        <v>116</v>
      </c>
      <c r="Z1050" s="50">
        <f>ROUND(IF(AQ1050="5",BJ1050,0),2)</f>
        <v>0</v>
      </c>
      <c r="AB1050" s="50">
        <f>ROUND(IF(AQ1050="1",BH1050,0),2)</f>
        <v>0</v>
      </c>
      <c r="AC1050" s="50">
        <f>ROUND(IF(AQ1050="1",BI1050,0),2)</f>
        <v>0</v>
      </c>
      <c r="AD1050" s="50">
        <f>ROUND(IF(AQ1050="7",BH1050,0),2)</f>
        <v>0</v>
      </c>
      <c r="AE1050" s="50">
        <f>ROUND(IF(AQ1050="7",BI1050,0),2)</f>
        <v>0</v>
      </c>
      <c r="AF1050" s="50">
        <f>ROUND(IF(AQ1050="2",BH1050,0),2)</f>
        <v>0</v>
      </c>
      <c r="AG1050" s="50">
        <f>ROUND(IF(AQ1050="2",BI1050,0),2)</f>
        <v>0</v>
      </c>
      <c r="AH1050" s="50">
        <f>ROUND(IF(AQ1050="0",BJ1050,0),2)</f>
        <v>0</v>
      </c>
      <c r="AI1050" s="32" t="s">
        <v>4</v>
      </c>
      <c r="AJ1050" s="50">
        <f>IF(AN1050=0,J1050,0)</f>
        <v>0</v>
      </c>
      <c r="AK1050" s="50">
        <f>IF(AN1050=12,J1050,0)</f>
        <v>0</v>
      </c>
      <c r="AL1050" s="50">
        <f>IF(AN1050=21,J1050,0)</f>
        <v>0</v>
      </c>
      <c r="AN1050" s="50">
        <v>21</v>
      </c>
      <c r="AO1050" s="50">
        <f>G1050*0.377139542</f>
        <v>0</v>
      </c>
      <c r="AP1050" s="50">
        <f>G1050*(1-0.377139542)</f>
        <v>0</v>
      </c>
      <c r="AQ1050" s="52" t="s">
        <v>132</v>
      </c>
      <c r="AV1050" s="50">
        <f>ROUND(AW1050+AX1050,2)</f>
        <v>0</v>
      </c>
      <c r="AW1050" s="50">
        <f>ROUND(F1050*AO1050,2)</f>
        <v>0</v>
      </c>
      <c r="AX1050" s="50">
        <f>ROUND(F1050*AP1050,2)</f>
        <v>0</v>
      </c>
      <c r="AY1050" s="52" t="s">
        <v>1597</v>
      </c>
      <c r="AZ1050" s="52" t="s">
        <v>1535</v>
      </c>
      <c r="BA1050" s="32" t="s">
        <v>119</v>
      </c>
      <c r="BC1050" s="50">
        <f>AW1050+AX1050</f>
        <v>0</v>
      </c>
      <c r="BD1050" s="50">
        <f>G1050/(100-BE1050)*100</f>
        <v>0</v>
      </c>
      <c r="BE1050" s="50">
        <v>0</v>
      </c>
      <c r="BF1050" s="50">
        <f>1050</f>
        <v>1050</v>
      </c>
      <c r="BH1050" s="50">
        <f>F1050*AO1050</f>
        <v>0</v>
      </c>
      <c r="BI1050" s="50">
        <f>F1050*AP1050</f>
        <v>0</v>
      </c>
      <c r="BJ1050" s="50">
        <f>F1050*G1050</f>
        <v>0</v>
      </c>
      <c r="BK1050" s="50"/>
      <c r="BL1050" s="50"/>
      <c r="BW1050" s="50">
        <v>21</v>
      </c>
      <c r="BX1050" s="3" t="s">
        <v>1661</v>
      </c>
    </row>
    <row r="1051" spans="1:76" ht="14.4" x14ac:dyDescent="0.3">
      <c r="A1051" s="53"/>
      <c r="C1051" s="54" t="s">
        <v>166</v>
      </c>
      <c r="D1051" s="54" t="s">
        <v>4</v>
      </c>
      <c r="F1051" s="55">
        <v>9</v>
      </c>
      <c r="K1051" s="56"/>
    </row>
    <row r="1052" spans="1:76" ht="14.4" x14ac:dyDescent="0.3">
      <c r="A1052" s="46" t="s">
        <v>4</v>
      </c>
      <c r="B1052" s="47" t="s">
        <v>1662</v>
      </c>
      <c r="C1052" s="148" t="s">
        <v>1663</v>
      </c>
      <c r="D1052" s="149"/>
      <c r="E1052" s="48" t="s">
        <v>74</v>
      </c>
      <c r="F1052" s="48" t="s">
        <v>74</v>
      </c>
      <c r="G1052" s="48" t="s">
        <v>74</v>
      </c>
      <c r="H1052" s="26">
        <f>SUM(H1053:H1069)</f>
        <v>0</v>
      </c>
      <c r="I1052" s="26">
        <f>SUM(I1053:I1069)</f>
        <v>0</v>
      </c>
      <c r="J1052" s="26">
        <f>SUM(J1053:J1069)</f>
        <v>0</v>
      </c>
      <c r="K1052" s="49" t="s">
        <v>4</v>
      </c>
      <c r="AI1052" s="32" t="s">
        <v>4</v>
      </c>
      <c r="AS1052" s="26">
        <f>SUM(AJ1053:AJ1069)</f>
        <v>0</v>
      </c>
      <c r="AT1052" s="26">
        <f>SUM(AK1053:AK1069)</f>
        <v>0</v>
      </c>
      <c r="AU1052" s="26">
        <f>SUM(AL1053:AL1069)</f>
        <v>0</v>
      </c>
    </row>
    <row r="1053" spans="1:76" ht="14.4" x14ac:dyDescent="0.3">
      <c r="A1053" s="1" t="s">
        <v>1664</v>
      </c>
      <c r="B1053" s="2" t="s">
        <v>1665</v>
      </c>
      <c r="C1053" s="75" t="s">
        <v>1666</v>
      </c>
      <c r="D1053" s="70"/>
      <c r="E1053" s="2" t="s">
        <v>233</v>
      </c>
      <c r="F1053" s="50">
        <v>4</v>
      </c>
      <c r="G1053" s="50">
        <v>0</v>
      </c>
      <c r="H1053" s="50">
        <f>ROUND(F1053*AO1053,2)</f>
        <v>0</v>
      </c>
      <c r="I1053" s="50">
        <f>ROUND(F1053*AP1053,2)</f>
        <v>0</v>
      </c>
      <c r="J1053" s="50">
        <f>ROUND(F1053*G1053,2)</f>
        <v>0</v>
      </c>
      <c r="K1053" s="51" t="s">
        <v>116</v>
      </c>
      <c r="Z1053" s="50">
        <f>ROUND(IF(AQ1053="5",BJ1053,0),2)</f>
        <v>0</v>
      </c>
      <c r="AB1053" s="50">
        <f>ROUND(IF(AQ1053="1",BH1053,0),2)</f>
        <v>0</v>
      </c>
      <c r="AC1053" s="50">
        <f>ROUND(IF(AQ1053="1",BI1053,0),2)</f>
        <v>0</v>
      </c>
      <c r="AD1053" s="50">
        <f>ROUND(IF(AQ1053="7",BH1053,0),2)</f>
        <v>0</v>
      </c>
      <c r="AE1053" s="50">
        <f>ROUND(IF(AQ1053="7",BI1053,0),2)</f>
        <v>0</v>
      </c>
      <c r="AF1053" s="50">
        <f>ROUND(IF(AQ1053="2",BH1053,0),2)</f>
        <v>0</v>
      </c>
      <c r="AG1053" s="50">
        <f>ROUND(IF(AQ1053="2",BI1053,0),2)</f>
        <v>0</v>
      </c>
      <c r="AH1053" s="50">
        <f>ROUND(IF(AQ1053="0",BJ1053,0),2)</f>
        <v>0</v>
      </c>
      <c r="AI1053" s="32" t="s">
        <v>4</v>
      </c>
      <c r="AJ1053" s="50">
        <f>IF(AN1053=0,J1053,0)</f>
        <v>0</v>
      </c>
      <c r="AK1053" s="50">
        <f>IF(AN1053=12,J1053,0)</f>
        <v>0</v>
      </c>
      <c r="AL1053" s="50">
        <f>IF(AN1053=21,J1053,0)</f>
        <v>0</v>
      </c>
      <c r="AN1053" s="50">
        <v>21</v>
      </c>
      <c r="AO1053" s="50">
        <f>G1053*0.13047619</f>
        <v>0</v>
      </c>
      <c r="AP1053" s="50">
        <f>G1053*(1-0.13047619)</f>
        <v>0</v>
      </c>
      <c r="AQ1053" s="52" t="s">
        <v>132</v>
      </c>
      <c r="AV1053" s="50">
        <f>ROUND(AW1053+AX1053,2)</f>
        <v>0</v>
      </c>
      <c r="AW1053" s="50">
        <f>ROUND(F1053*AO1053,2)</f>
        <v>0</v>
      </c>
      <c r="AX1053" s="50">
        <f>ROUND(F1053*AP1053,2)</f>
        <v>0</v>
      </c>
      <c r="AY1053" s="52" t="s">
        <v>1667</v>
      </c>
      <c r="AZ1053" s="52" t="s">
        <v>1535</v>
      </c>
      <c r="BA1053" s="32" t="s">
        <v>119</v>
      </c>
      <c r="BC1053" s="50">
        <f>AW1053+AX1053</f>
        <v>0</v>
      </c>
      <c r="BD1053" s="50">
        <f>G1053/(100-BE1053)*100</f>
        <v>0</v>
      </c>
      <c r="BE1053" s="50">
        <v>0</v>
      </c>
      <c r="BF1053" s="50">
        <f>1053</f>
        <v>1053</v>
      </c>
      <c r="BH1053" s="50">
        <f>F1053*AO1053</f>
        <v>0</v>
      </c>
      <c r="BI1053" s="50">
        <f>F1053*AP1053</f>
        <v>0</v>
      </c>
      <c r="BJ1053" s="50">
        <f>F1053*G1053</f>
        <v>0</v>
      </c>
      <c r="BK1053" s="50"/>
      <c r="BL1053" s="50"/>
      <c r="BW1053" s="50">
        <v>21</v>
      </c>
      <c r="BX1053" s="3" t="s">
        <v>1666</v>
      </c>
    </row>
    <row r="1054" spans="1:76" ht="14.4" x14ac:dyDescent="0.3">
      <c r="A1054" s="53"/>
      <c r="C1054" s="54" t="s">
        <v>140</v>
      </c>
      <c r="D1054" s="54" t="s">
        <v>4</v>
      </c>
      <c r="F1054" s="55">
        <v>4</v>
      </c>
      <c r="K1054" s="56"/>
    </row>
    <row r="1055" spans="1:76" ht="14.4" x14ac:dyDescent="0.3">
      <c r="A1055" s="1" t="s">
        <v>1668</v>
      </c>
      <c r="B1055" s="2" t="s">
        <v>1669</v>
      </c>
      <c r="C1055" s="75" t="s">
        <v>1670</v>
      </c>
      <c r="D1055" s="70"/>
      <c r="E1055" s="2" t="s">
        <v>278</v>
      </c>
      <c r="F1055" s="50">
        <v>1</v>
      </c>
      <c r="G1055" s="50">
        <v>0</v>
      </c>
      <c r="H1055" s="50">
        <f>ROUND(F1055*AO1055,2)</f>
        <v>0</v>
      </c>
      <c r="I1055" s="50">
        <f>ROUND(F1055*AP1055,2)</f>
        <v>0</v>
      </c>
      <c r="J1055" s="50">
        <f>ROUND(F1055*G1055,2)</f>
        <v>0</v>
      </c>
      <c r="K1055" s="51" t="s">
        <v>116</v>
      </c>
      <c r="Z1055" s="50">
        <f>ROUND(IF(AQ1055="5",BJ1055,0),2)</f>
        <v>0</v>
      </c>
      <c r="AB1055" s="50">
        <f>ROUND(IF(AQ1055="1",BH1055,0),2)</f>
        <v>0</v>
      </c>
      <c r="AC1055" s="50">
        <f>ROUND(IF(AQ1055="1",BI1055,0),2)</f>
        <v>0</v>
      </c>
      <c r="AD1055" s="50">
        <f>ROUND(IF(AQ1055="7",BH1055,0),2)</f>
        <v>0</v>
      </c>
      <c r="AE1055" s="50">
        <f>ROUND(IF(AQ1055="7",BI1055,0),2)</f>
        <v>0</v>
      </c>
      <c r="AF1055" s="50">
        <f>ROUND(IF(AQ1055="2",BH1055,0),2)</f>
        <v>0</v>
      </c>
      <c r="AG1055" s="50">
        <f>ROUND(IF(AQ1055="2",BI1055,0),2)</f>
        <v>0</v>
      </c>
      <c r="AH1055" s="50">
        <f>ROUND(IF(AQ1055="0",BJ1055,0),2)</f>
        <v>0</v>
      </c>
      <c r="AI1055" s="32" t="s">
        <v>4</v>
      </c>
      <c r="AJ1055" s="50">
        <f>IF(AN1055=0,J1055,0)</f>
        <v>0</v>
      </c>
      <c r="AK1055" s="50">
        <f>IF(AN1055=12,J1055,0)</f>
        <v>0</v>
      </c>
      <c r="AL1055" s="50">
        <f>IF(AN1055=21,J1055,0)</f>
        <v>0</v>
      </c>
      <c r="AN1055" s="50">
        <v>21</v>
      </c>
      <c r="AO1055" s="50">
        <f>G1055*0</f>
        <v>0</v>
      </c>
      <c r="AP1055" s="50">
        <f>G1055*(1-0)</f>
        <v>0</v>
      </c>
      <c r="AQ1055" s="52" t="s">
        <v>132</v>
      </c>
      <c r="AV1055" s="50">
        <f>ROUND(AW1055+AX1055,2)</f>
        <v>0</v>
      </c>
      <c r="AW1055" s="50">
        <f>ROUND(F1055*AO1055,2)</f>
        <v>0</v>
      </c>
      <c r="AX1055" s="50">
        <f>ROUND(F1055*AP1055,2)</f>
        <v>0</v>
      </c>
      <c r="AY1055" s="52" t="s">
        <v>1667</v>
      </c>
      <c r="AZ1055" s="52" t="s">
        <v>1535</v>
      </c>
      <c r="BA1055" s="32" t="s">
        <v>119</v>
      </c>
      <c r="BC1055" s="50">
        <f>AW1055+AX1055</f>
        <v>0</v>
      </c>
      <c r="BD1055" s="50">
        <f>G1055/(100-BE1055)*100</f>
        <v>0</v>
      </c>
      <c r="BE1055" s="50">
        <v>0</v>
      </c>
      <c r="BF1055" s="50">
        <f>1055</f>
        <v>1055</v>
      </c>
      <c r="BH1055" s="50">
        <f>F1055*AO1055</f>
        <v>0</v>
      </c>
      <c r="BI1055" s="50">
        <f>F1055*AP1055</f>
        <v>0</v>
      </c>
      <c r="BJ1055" s="50">
        <f>F1055*G1055</f>
        <v>0</v>
      </c>
      <c r="BK1055" s="50"/>
      <c r="BL1055" s="50"/>
      <c r="BW1055" s="50">
        <v>21</v>
      </c>
      <c r="BX1055" s="3" t="s">
        <v>1670</v>
      </c>
    </row>
    <row r="1056" spans="1:76" ht="14.4" x14ac:dyDescent="0.3">
      <c r="A1056" s="53"/>
      <c r="C1056" s="54" t="s">
        <v>112</v>
      </c>
      <c r="D1056" s="54" t="s">
        <v>4</v>
      </c>
      <c r="F1056" s="55">
        <v>1</v>
      </c>
      <c r="K1056" s="56"/>
    </row>
    <row r="1057" spans="1:76" ht="14.4" x14ac:dyDescent="0.3">
      <c r="A1057" s="1" t="s">
        <v>1671</v>
      </c>
      <c r="B1057" s="2" t="s">
        <v>1672</v>
      </c>
      <c r="C1057" s="75" t="s">
        <v>1673</v>
      </c>
      <c r="D1057" s="70"/>
      <c r="E1057" s="2" t="s">
        <v>278</v>
      </c>
      <c r="F1057" s="50">
        <v>1</v>
      </c>
      <c r="G1057" s="50">
        <v>0</v>
      </c>
      <c r="H1057" s="50">
        <f>ROUND(F1057*AO1057,2)</f>
        <v>0</v>
      </c>
      <c r="I1057" s="50">
        <f>ROUND(F1057*AP1057,2)</f>
        <v>0</v>
      </c>
      <c r="J1057" s="50">
        <f>ROUND(F1057*G1057,2)</f>
        <v>0</v>
      </c>
      <c r="K1057" s="51" t="s">
        <v>116</v>
      </c>
      <c r="Z1057" s="50">
        <f>ROUND(IF(AQ1057="5",BJ1057,0),2)</f>
        <v>0</v>
      </c>
      <c r="AB1057" s="50">
        <f>ROUND(IF(AQ1057="1",BH1057,0),2)</f>
        <v>0</v>
      </c>
      <c r="AC1057" s="50">
        <f>ROUND(IF(AQ1057="1",BI1057,0),2)</f>
        <v>0</v>
      </c>
      <c r="AD1057" s="50">
        <f>ROUND(IF(AQ1057="7",BH1057,0),2)</f>
        <v>0</v>
      </c>
      <c r="AE1057" s="50">
        <f>ROUND(IF(AQ1057="7",BI1057,0),2)</f>
        <v>0</v>
      </c>
      <c r="AF1057" s="50">
        <f>ROUND(IF(AQ1057="2",BH1057,0),2)</f>
        <v>0</v>
      </c>
      <c r="AG1057" s="50">
        <f>ROUND(IF(AQ1057="2",BI1057,0),2)</f>
        <v>0</v>
      </c>
      <c r="AH1057" s="50">
        <f>ROUND(IF(AQ1057="0",BJ1057,0),2)</f>
        <v>0</v>
      </c>
      <c r="AI1057" s="32" t="s">
        <v>4</v>
      </c>
      <c r="AJ1057" s="50">
        <f>IF(AN1057=0,J1057,0)</f>
        <v>0</v>
      </c>
      <c r="AK1057" s="50">
        <f>IF(AN1057=12,J1057,0)</f>
        <v>0</v>
      </c>
      <c r="AL1057" s="50">
        <f>IF(AN1057=21,J1057,0)</f>
        <v>0</v>
      </c>
      <c r="AN1057" s="50">
        <v>21</v>
      </c>
      <c r="AO1057" s="50">
        <f>G1057*1</f>
        <v>0</v>
      </c>
      <c r="AP1057" s="50">
        <f>G1057*(1-1)</f>
        <v>0</v>
      </c>
      <c r="AQ1057" s="52" t="s">
        <v>132</v>
      </c>
      <c r="AV1057" s="50">
        <f>ROUND(AW1057+AX1057,2)</f>
        <v>0</v>
      </c>
      <c r="AW1057" s="50">
        <f>ROUND(F1057*AO1057,2)</f>
        <v>0</v>
      </c>
      <c r="AX1057" s="50">
        <f>ROUND(F1057*AP1057,2)</f>
        <v>0</v>
      </c>
      <c r="AY1057" s="52" t="s">
        <v>1667</v>
      </c>
      <c r="AZ1057" s="52" t="s">
        <v>1535</v>
      </c>
      <c r="BA1057" s="32" t="s">
        <v>119</v>
      </c>
      <c r="BC1057" s="50">
        <f>AW1057+AX1057</f>
        <v>0</v>
      </c>
      <c r="BD1057" s="50">
        <f>G1057/(100-BE1057)*100</f>
        <v>0</v>
      </c>
      <c r="BE1057" s="50">
        <v>0</v>
      </c>
      <c r="BF1057" s="50">
        <f>1057</f>
        <v>1057</v>
      </c>
      <c r="BH1057" s="50">
        <f>F1057*AO1057</f>
        <v>0</v>
      </c>
      <c r="BI1057" s="50">
        <f>F1057*AP1057</f>
        <v>0</v>
      </c>
      <c r="BJ1057" s="50">
        <f>F1057*G1057</f>
        <v>0</v>
      </c>
      <c r="BK1057" s="50"/>
      <c r="BL1057" s="50"/>
      <c r="BW1057" s="50">
        <v>21</v>
      </c>
      <c r="BX1057" s="3" t="s">
        <v>1673</v>
      </c>
    </row>
    <row r="1058" spans="1:76" ht="14.4" x14ac:dyDescent="0.3">
      <c r="A1058" s="53"/>
      <c r="C1058" s="54" t="s">
        <v>112</v>
      </c>
      <c r="D1058" s="54" t="s">
        <v>4</v>
      </c>
      <c r="F1058" s="55">
        <v>1</v>
      </c>
      <c r="K1058" s="56"/>
    </row>
    <row r="1059" spans="1:76" ht="14.4" x14ac:dyDescent="0.3">
      <c r="A1059" s="1" t="s">
        <v>1674</v>
      </c>
      <c r="B1059" s="2" t="s">
        <v>1675</v>
      </c>
      <c r="C1059" s="75" t="s">
        <v>1676</v>
      </c>
      <c r="D1059" s="70"/>
      <c r="E1059" s="2" t="s">
        <v>233</v>
      </c>
      <c r="F1059" s="50">
        <v>15</v>
      </c>
      <c r="G1059" s="50">
        <v>0</v>
      </c>
      <c r="H1059" s="50">
        <f>ROUND(F1059*AO1059,2)</f>
        <v>0</v>
      </c>
      <c r="I1059" s="50">
        <f>ROUND(F1059*AP1059,2)</f>
        <v>0</v>
      </c>
      <c r="J1059" s="50">
        <f>ROUND(F1059*G1059,2)</f>
        <v>0</v>
      </c>
      <c r="K1059" s="51" t="s">
        <v>116</v>
      </c>
      <c r="Z1059" s="50">
        <f>ROUND(IF(AQ1059="5",BJ1059,0),2)</f>
        <v>0</v>
      </c>
      <c r="AB1059" s="50">
        <f>ROUND(IF(AQ1059="1",BH1059,0),2)</f>
        <v>0</v>
      </c>
      <c r="AC1059" s="50">
        <f>ROUND(IF(AQ1059="1",BI1059,0),2)</f>
        <v>0</v>
      </c>
      <c r="AD1059" s="50">
        <f>ROUND(IF(AQ1059="7",BH1059,0),2)</f>
        <v>0</v>
      </c>
      <c r="AE1059" s="50">
        <f>ROUND(IF(AQ1059="7",BI1059,0),2)</f>
        <v>0</v>
      </c>
      <c r="AF1059" s="50">
        <f>ROUND(IF(AQ1059="2",BH1059,0),2)</f>
        <v>0</v>
      </c>
      <c r="AG1059" s="50">
        <f>ROUND(IF(AQ1059="2",BI1059,0),2)</f>
        <v>0</v>
      </c>
      <c r="AH1059" s="50">
        <f>ROUND(IF(AQ1059="0",BJ1059,0),2)</f>
        <v>0</v>
      </c>
      <c r="AI1059" s="32" t="s">
        <v>4</v>
      </c>
      <c r="AJ1059" s="50">
        <f>IF(AN1059=0,J1059,0)</f>
        <v>0</v>
      </c>
      <c r="AK1059" s="50">
        <f>IF(AN1059=12,J1059,0)</f>
        <v>0</v>
      </c>
      <c r="AL1059" s="50">
        <f>IF(AN1059=21,J1059,0)</f>
        <v>0</v>
      </c>
      <c r="AN1059" s="50">
        <v>21</v>
      </c>
      <c r="AO1059" s="50">
        <f>G1059*0</f>
        <v>0</v>
      </c>
      <c r="AP1059" s="50">
        <f>G1059*(1-0)</f>
        <v>0</v>
      </c>
      <c r="AQ1059" s="52" t="s">
        <v>132</v>
      </c>
      <c r="AV1059" s="50">
        <f>ROUND(AW1059+AX1059,2)</f>
        <v>0</v>
      </c>
      <c r="AW1059" s="50">
        <f>ROUND(F1059*AO1059,2)</f>
        <v>0</v>
      </c>
      <c r="AX1059" s="50">
        <f>ROUND(F1059*AP1059,2)</f>
        <v>0</v>
      </c>
      <c r="AY1059" s="52" t="s">
        <v>1667</v>
      </c>
      <c r="AZ1059" s="52" t="s">
        <v>1535</v>
      </c>
      <c r="BA1059" s="32" t="s">
        <v>119</v>
      </c>
      <c r="BC1059" s="50">
        <f>AW1059+AX1059</f>
        <v>0</v>
      </c>
      <c r="BD1059" s="50">
        <f>G1059/(100-BE1059)*100</f>
        <v>0</v>
      </c>
      <c r="BE1059" s="50">
        <v>0</v>
      </c>
      <c r="BF1059" s="50">
        <f>1059</f>
        <v>1059</v>
      </c>
      <c r="BH1059" s="50">
        <f>F1059*AO1059</f>
        <v>0</v>
      </c>
      <c r="BI1059" s="50">
        <f>F1059*AP1059</f>
        <v>0</v>
      </c>
      <c r="BJ1059" s="50">
        <f>F1059*G1059</f>
        <v>0</v>
      </c>
      <c r="BK1059" s="50"/>
      <c r="BL1059" s="50"/>
      <c r="BW1059" s="50">
        <v>21</v>
      </c>
      <c r="BX1059" s="3" t="s">
        <v>1676</v>
      </c>
    </row>
    <row r="1060" spans="1:76" ht="14.4" x14ac:dyDescent="0.3">
      <c r="A1060" s="53"/>
      <c r="C1060" s="54" t="s">
        <v>213</v>
      </c>
      <c r="D1060" s="54" t="s">
        <v>4</v>
      </c>
      <c r="F1060" s="55">
        <v>15</v>
      </c>
      <c r="K1060" s="56"/>
    </row>
    <row r="1061" spans="1:76" ht="14.4" x14ac:dyDescent="0.3">
      <c r="A1061" s="1" t="s">
        <v>1677</v>
      </c>
      <c r="B1061" s="2" t="s">
        <v>1678</v>
      </c>
      <c r="C1061" s="75" t="s">
        <v>1679</v>
      </c>
      <c r="D1061" s="70"/>
      <c r="E1061" s="2" t="s">
        <v>233</v>
      </c>
      <c r="F1061" s="50">
        <v>15</v>
      </c>
      <c r="G1061" s="50">
        <v>0</v>
      </c>
      <c r="H1061" s="50">
        <f>ROUND(F1061*AO1061,2)</f>
        <v>0</v>
      </c>
      <c r="I1061" s="50">
        <f>ROUND(F1061*AP1061,2)</f>
        <v>0</v>
      </c>
      <c r="J1061" s="50">
        <f>ROUND(F1061*G1061,2)</f>
        <v>0</v>
      </c>
      <c r="K1061" s="51" t="s">
        <v>116</v>
      </c>
      <c r="Z1061" s="50">
        <f>ROUND(IF(AQ1061="5",BJ1061,0),2)</f>
        <v>0</v>
      </c>
      <c r="AB1061" s="50">
        <f>ROUND(IF(AQ1061="1",BH1061,0),2)</f>
        <v>0</v>
      </c>
      <c r="AC1061" s="50">
        <f>ROUND(IF(AQ1061="1",BI1061,0),2)</f>
        <v>0</v>
      </c>
      <c r="AD1061" s="50">
        <f>ROUND(IF(AQ1061="7",BH1061,0),2)</f>
        <v>0</v>
      </c>
      <c r="AE1061" s="50">
        <f>ROUND(IF(AQ1061="7",BI1061,0),2)</f>
        <v>0</v>
      </c>
      <c r="AF1061" s="50">
        <f>ROUND(IF(AQ1061="2",BH1061,0),2)</f>
        <v>0</v>
      </c>
      <c r="AG1061" s="50">
        <f>ROUND(IF(AQ1061="2",BI1061,0),2)</f>
        <v>0</v>
      </c>
      <c r="AH1061" s="50">
        <f>ROUND(IF(AQ1061="0",BJ1061,0),2)</f>
        <v>0</v>
      </c>
      <c r="AI1061" s="32" t="s">
        <v>4</v>
      </c>
      <c r="AJ1061" s="50">
        <f>IF(AN1061=0,J1061,0)</f>
        <v>0</v>
      </c>
      <c r="AK1061" s="50">
        <f>IF(AN1061=12,J1061,0)</f>
        <v>0</v>
      </c>
      <c r="AL1061" s="50">
        <f>IF(AN1061=21,J1061,0)</f>
        <v>0</v>
      </c>
      <c r="AN1061" s="50">
        <v>21</v>
      </c>
      <c r="AO1061" s="50">
        <f>G1061*1</f>
        <v>0</v>
      </c>
      <c r="AP1061" s="50">
        <f>G1061*(1-1)</f>
        <v>0</v>
      </c>
      <c r="AQ1061" s="52" t="s">
        <v>132</v>
      </c>
      <c r="AV1061" s="50">
        <f>ROUND(AW1061+AX1061,2)</f>
        <v>0</v>
      </c>
      <c r="AW1061" s="50">
        <f>ROUND(F1061*AO1061,2)</f>
        <v>0</v>
      </c>
      <c r="AX1061" s="50">
        <f>ROUND(F1061*AP1061,2)</f>
        <v>0</v>
      </c>
      <c r="AY1061" s="52" t="s">
        <v>1667</v>
      </c>
      <c r="AZ1061" s="52" t="s">
        <v>1535</v>
      </c>
      <c r="BA1061" s="32" t="s">
        <v>119</v>
      </c>
      <c r="BC1061" s="50">
        <f>AW1061+AX1061</f>
        <v>0</v>
      </c>
      <c r="BD1061" s="50">
        <f>G1061/(100-BE1061)*100</f>
        <v>0</v>
      </c>
      <c r="BE1061" s="50">
        <v>0</v>
      </c>
      <c r="BF1061" s="50">
        <f>1061</f>
        <v>1061</v>
      </c>
      <c r="BH1061" s="50">
        <f>F1061*AO1061</f>
        <v>0</v>
      </c>
      <c r="BI1061" s="50">
        <f>F1061*AP1061</f>
        <v>0</v>
      </c>
      <c r="BJ1061" s="50">
        <f>F1061*G1061</f>
        <v>0</v>
      </c>
      <c r="BK1061" s="50"/>
      <c r="BL1061" s="50"/>
      <c r="BW1061" s="50">
        <v>21</v>
      </c>
      <c r="BX1061" s="3" t="s">
        <v>1679</v>
      </c>
    </row>
    <row r="1062" spans="1:76" ht="14.4" x14ac:dyDescent="0.3">
      <c r="A1062" s="53"/>
      <c r="C1062" s="54" t="s">
        <v>213</v>
      </c>
      <c r="D1062" s="54" t="s">
        <v>4</v>
      </c>
      <c r="F1062" s="55">
        <v>15</v>
      </c>
      <c r="K1062" s="56"/>
    </row>
    <row r="1063" spans="1:76" ht="14.4" x14ac:dyDescent="0.3">
      <c r="A1063" s="1" t="s">
        <v>1680</v>
      </c>
      <c r="B1063" s="2" t="s">
        <v>1681</v>
      </c>
      <c r="C1063" s="75" t="s">
        <v>1682</v>
      </c>
      <c r="D1063" s="70"/>
      <c r="E1063" s="2" t="s">
        <v>233</v>
      </c>
      <c r="F1063" s="50">
        <v>80</v>
      </c>
      <c r="G1063" s="50">
        <v>0</v>
      </c>
      <c r="H1063" s="50">
        <f>ROUND(F1063*AO1063,2)</f>
        <v>0</v>
      </c>
      <c r="I1063" s="50">
        <f>ROUND(F1063*AP1063,2)</f>
        <v>0</v>
      </c>
      <c r="J1063" s="50">
        <f>ROUND(F1063*G1063,2)</f>
        <v>0</v>
      </c>
      <c r="K1063" s="51" t="s">
        <v>116</v>
      </c>
      <c r="Z1063" s="50">
        <f>ROUND(IF(AQ1063="5",BJ1063,0),2)</f>
        <v>0</v>
      </c>
      <c r="AB1063" s="50">
        <f>ROUND(IF(AQ1063="1",BH1063,0),2)</f>
        <v>0</v>
      </c>
      <c r="AC1063" s="50">
        <f>ROUND(IF(AQ1063="1",BI1063,0),2)</f>
        <v>0</v>
      </c>
      <c r="AD1063" s="50">
        <f>ROUND(IF(AQ1063="7",BH1063,0),2)</f>
        <v>0</v>
      </c>
      <c r="AE1063" s="50">
        <f>ROUND(IF(AQ1063="7",BI1063,0),2)</f>
        <v>0</v>
      </c>
      <c r="AF1063" s="50">
        <f>ROUND(IF(AQ1063="2",BH1063,0),2)</f>
        <v>0</v>
      </c>
      <c r="AG1063" s="50">
        <f>ROUND(IF(AQ1063="2",BI1063,0),2)</f>
        <v>0</v>
      </c>
      <c r="AH1063" s="50">
        <f>ROUND(IF(AQ1063="0",BJ1063,0),2)</f>
        <v>0</v>
      </c>
      <c r="AI1063" s="32" t="s">
        <v>4</v>
      </c>
      <c r="AJ1063" s="50">
        <f>IF(AN1063=0,J1063,0)</f>
        <v>0</v>
      </c>
      <c r="AK1063" s="50">
        <f>IF(AN1063=12,J1063,0)</f>
        <v>0</v>
      </c>
      <c r="AL1063" s="50">
        <f>IF(AN1063=21,J1063,0)</f>
        <v>0</v>
      </c>
      <c r="AN1063" s="50">
        <v>21</v>
      </c>
      <c r="AO1063" s="50">
        <f>G1063*0</f>
        <v>0</v>
      </c>
      <c r="AP1063" s="50">
        <f>G1063*(1-0)</f>
        <v>0</v>
      </c>
      <c r="AQ1063" s="52" t="s">
        <v>132</v>
      </c>
      <c r="AV1063" s="50">
        <f>ROUND(AW1063+AX1063,2)</f>
        <v>0</v>
      </c>
      <c r="AW1063" s="50">
        <f>ROUND(F1063*AO1063,2)</f>
        <v>0</v>
      </c>
      <c r="AX1063" s="50">
        <f>ROUND(F1063*AP1063,2)</f>
        <v>0</v>
      </c>
      <c r="AY1063" s="52" t="s">
        <v>1667</v>
      </c>
      <c r="AZ1063" s="52" t="s">
        <v>1535</v>
      </c>
      <c r="BA1063" s="32" t="s">
        <v>119</v>
      </c>
      <c r="BC1063" s="50">
        <f>AW1063+AX1063</f>
        <v>0</v>
      </c>
      <c r="BD1063" s="50">
        <f>G1063/(100-BE1063)*100</f>
        <v>0</v>
      </c>
      <c r="BE1063" s="50">
        <v>0</v>
      </c>
      <c r="BF1063" s="50">
        <f>1063</f>
        <v>1063</v>
      </c>
      <c r="BH1063" s="50">
        <f>F1063*AO1063</f>
        <v>0</v>
      </c>
      <c r="BI1063" s="50">
        <f>F1063*AP1063</f>
        <v>0</v>
      </c>
      <c r="BJ1063" s="50">
        <f>F1063*G1063</f>
        <v>0</v>
      </c>
      <c r="BK1063" s="50"/>
      <c r="BL1063" s="50"/>
      <c r="BW1063" s="50">
        <v>21</v>
      </c>
      <c r="BX1063" s="3" t="s">
        <v>1682</v>
      </c>
    </row>
    <row r="1064" spans="1:76" ht="14.4" x14ac:dyDescent="0.3">
      <c r="A1064" s="53"/>
      <c r="C1064" s="54" t="s">
        <v>1683</v>
      </c>
      <c r="D1064" s="54" t="s">
        <v>4</v>
      </c>
      <c r="F1064" s="55">
        <v>80</v>
      </c>
      <c r="K1064" s="56"/>
    </row>
    <row r="1065" spans="1:76" ht="14.4" x14ac:dyDescent="0.3">
      <c r="A1065" s="1" t="s">
        <v>1684</v>
      </c>
      <c r="B1065" s="2" t="s">
        <v>1685</v>
      </c>
      <c r="C1065" s="75" t="s">
        <v>1686</v>
      </c>
      <c r="D1065" s="70"/>
      <c r="E1065" s="2" t="s">
        <v>233</v>
      </c>
      <c r="F1065" s="50">
        <v>15</v>
      </c>
      <c r="G1065" s="50">
        <v>0</v>
      </c>
      <c r="H1065" s="50">
        <f>ROUND(F1065*AO1065,2)</f>
        <v>0</v>
      </c>
      <c r="I1065" s="50">
        <f>ROUND(F1065*AP1065,2)</f>
        <v>0</v>
      </c>
      <c r="J1065" s="50">
        <f>ROUND(F1065*G1065,2)</f>
        <v>0</v>
      </c>
      <c r="K1065" s="51" t="s">
        <v>116</v>
      </c>
      <c r="Z1065" s="50">
        <f>ROUND(IF(AQ1065="5",BJ1065,0),2)</f>
        <v>0</v>
      </c>
      <c r="AB1065" s="50">
        <f>ROUND(IF(AQ1065="1",BH1065,0),2)</f>
        <v>0</v>
      </c>
      <c r="AC1065" s="50">
        <f>ROUND(IF(AQ1065="1",BI1065,0),2)</f>
        <v>0</v>
      </c>
      <c r="AD1065" s="50">
        <f>ROUND(IF(AQ1065="7",BH1065,0),2)</f>
        <v>0</v>
      </c>
      <c r="AE1065" s="50">
        <f>ROUND(IF(AQ1065="7",BI1065,0),2)</f>
        <v>0</v>
      </c>
      <c r="AF1065" s="50">
        <f>ROUND(IF(AQ1065="2",BH1065,0),2)</f>
        <v>0</v>
      </c>
      <c r="AG1065" s="50">
        <f>ROUND(IF(AQ1065="2",BI1065,0),2)</f>
        <v>0</v>
      </c>
      <c r="AH1065" s="50">
        <f>ROUND(IF(AQ1065="0",BJ1065,0),2)</f>
        <v>0</v>
      </c>
      <c r="AI1065" s="32" t="s">
        <v>4</v>
      </c>
      <c r="AJ1065" s="50">
        <f>IF(AN1065=0,J1065,0)</f>
        <v>0</v>
      </c>
      <c r="AK1065" s="50">
        <f>IF(AN1065=12,J1065,0)</f>
        <v>0</v>
      </c>
      <c r="AL1065" s="50">
        <f>IF(AN1065=21,J1065,0)</f>
        <v>0</v>
      </c>
      <c r="AN1065" s="50">
        <v>21</v>
      </c>
      <c r="AO1065" s="50">
        <f>G1065*1</f>
        <v>0</v>
      </c>
      <c r="AP1065" s="50">
        <f>G1065*(1-1)</f>
        <v>0</v>
      </c>
      <c r="AQ1065" s="52" t="s">
        <v>132</v>
      </c>
      <c r="AV1065" s="50">
        <f>ROUND(AW1065+AX1065,2)</f>
        <v>0</v>
      </c>
      <c r="AW1065" s="50">
        <f>ROUND(F1065*AO1065,2)</f>
        <v>0</v>
      </c>
      <c r="AX1065" s="50">
        <f>ROUND(F1065*AP1065,2)</f>
        <v>0</v>
      </c>
      <c r="AY1065" s="52" t="s">
        <v>1667</v>
      </c>
      <c r="AZ1065" s="52" t="s">
        <v>1535</v>
      </c>
      <c r="BA1065" s="32" t="s">
        <v>119</v>
      </c>
      <c r="BC1065" s="50">
        <f>AW1065+AX1065</f>
        <v>0</v>
      </c>
      <c r="BD1065" s="50">
        <f>G1065/(100-BE1065)*100</f>
        <v>0</v>
      </c>
      <c r="BE1065" s="50">
        <v>0</v>
      </c>
      <c r="BF1065" s="50">
        <f>1065</f>
        <v>1065</v>
      </c>
      <c r="BH1065" s="50">
        <f>F1065*AO1065</f>
        <v>0</v>
      </c>
      <c r="BI1065" s="50">
        <f>F1065*AP1065</f>
        <v>0</v>
      </c>
      <c r="BJ1065" s="50">
        <f>F1065*G1065</f>
        <v>0</v>
      </c>
      <c r="BK1065" s="50"/>
      <c r="BL1065" s="50"/>
      <c r="BW1065" s="50">
        <v>21</v>
      </c>
      <c r="BX1065" s="3" t="s">
        <v>1686</v>
      </c>
    </row>
    <row r="1066" spans="1:76" ht="14.4" x14ac:dyDescent="0.3">
      <c r="A1066" s="53"/>
      <c r="C1066" s="54" t="s">
        <v>213</v>
      </c>
      <c r="D1066" s="54" t="s">
        <v>4</v>
      </c>
      <c r="F1066" s="55">
        <v>15</v>
      </c>
      <c r="K1066" s="56"/>
    </row>
    <row r="1067" spans="1:76" ht="14.4" x14ac:dyDescent="0.3">
      <c r="A1067" s="1" t="s">
        <v>1687</v>
      </c>
      <c r="B1067" s="2" t="s">
        <v>1678</v>
      </c>
      <c r="C1067" s="75" t="s">
        <v>1688</v>
      </c>
      <c r="D1067" s="70"/>
      <c r="E1067" s="2" t="s">
        <v>233</v>
      </c>
      <c r="F1067" s="50">
        <v>40</v>
      </c>
      <c r="G1067" s="50">
        <v>0</v>
      </c>
      <c r="H1067" s="50">
        <f>ROUND(F1067*AO1067,2)</f>
        <v>0</v>
      </c>
      <c r="I1067" s="50">
        <f>ROUND(F1067*AP1067,2)</f>
        <v>0</v>
      </c>
      <c r="J1067" s="50">
        <f>ROUND(F1067*G1067,2)</f>
        <v>0</v>
      </c>
      <c r="K1067" s="51" t="s">
        <v>116</v>
      </c>
      <c r="Z1067" s="50">
        <f>ROUND(IF(AQ1067="5",BJ1067,0),2)</f>
        <v>0</v>
      </c>
      <c r="AB1067" s="50">
        <f>ROUND(IF(AQ1067="1",BH1067,0),2)</f>
        <v>0</v>
      </c>
      <c r="AC1067" s="50">
        <f>ROUND(IF(AQ1067="1",BI1067,0),2)</f>
        <v>0</v>
      </c>
      <c r="AD1067" s="50">
        <f>ROUND(IF(AQ1067="7",BH1067,0),2)</f>
        <v>0</v>
      </c>
      <c r="AE1067" s="50">
        <f>ROUND(IF(AQ1067="7",BI1067,0),2)</f>
        <v>0</v>
      </c>
      <c r="AF1067" s="50">
        <f>ROUND(IF(AQ1067="2",BH1067,0),2)</f>
        <v>0</v>
      </c>
      <c r="AG1067" s="50">
        <f>ROUND(IF(AQ1067="2",BI1067,0),2)</f>
        <v>0</v>
      </c>
      <c r="AH1067" s="50">
        <f>ROUND(IF(AQ1067="0",BJ1067,0),2)</f>
        <v>0</v>
      </c>
      <c r="AI1067" s="32" t="s">
        <v>4</v>
      </c>
      <c r="AJ1067" s="50">
        <f>IF(AN1067=0,J1067,0)</f>
        <v>0</v>
      </c>
      <c r="AK1067" s="50">
        <f>IF(AN1067=12,J1067,0)</f>
        <v>0</v>
      </c>
      <c r="AL1067" s="50">
        <f>IF(AN1067=21,J1067,0)</f>
        <v>0</v>
      </c>
      <c r="AN1067" s="50">
        <v>21</v>
      </c>
      <c r="AO1067" s="50">
        <f>G1067*1</f>
        <v>0</v>
      </c>
      <c r="AP1067" s="50">
        <f>G1067*(1-1)</f>
        <v>0</v>
      </c>
      <c r="AQ1067" s="52" t="s">
        <v>132</v>
      </c>
      <c r="AV1067" s="50">
        <f>ROUND(AW1067+AX1067,2)</f>
        <v>0</v>
      </c>
      <c r="AW1067" s="50">
        <f>ROUND(F1067*AO1067,2)</f>
        <v>0</v>
      </c>
      <c r="AX1067" s="50">
        <f>ROUND(F1067*AP1067,2)</f>
        <v>0</v>
      </c>
      <c r="AY1067" s="52" t="s">
        <v>1667</v>
      </c>
      <c r="AZ1067" s="52" t="s">
        <v>1535</v>
      </c>
      <c r="BA1067" s="32" t="s">
        <v>119</v>
      </c>
      <c r="BC1067" s="50">
        <f>AW1067+AX1067</f>
        <v>0</v>
      </c>
      <c r="BD1067" s="50">
        <f>G1067/(100-BE1067)*100</f>
        <v>0</v>
      </c>
      <c r="BE1067" s="50">
        <v>0</v>
      </c>
      <c r="BF1067" s="50">
        <f>1067</f>
        <v>1067</v>
      </c>
      <c r="BH1067" s="50">
        <f>F1067*AO1067</f>
        <v>0</v>
      </c>
      <c r="BI1067" s="50">
        <f>F1067*AP1067</f>
        <v>0</v>
      </c>
      <c r="BJ1067" s="50">
        <f>F1067*G1067</f>
        <v>0</v>
      </c>
      <c r="BK1067" s="50"/>
      <c r="BL1067" s="50"/>
      <c r="BW1067" s="50">
        <v>21</v>
      </c>
      <c r="BX1067" s="3" t="s">
        <v>1688</v>
      </c>
    </row>
    <row r="1068" spans="1:76" ht="14.4" x14ac:dyDescent="0.3">
      <c r="A1068" s="53"/>
      <c r="C1068" s="54" t="s">
        <v>321</v>
      </c>
      <c r="D1068" s="54" t="s">
        <v>4</v>
      </c>
      <c r="F1068" s="55">
        <v>40</v>
      </c>
      <c r="K1068" s="56"/>
    </row>
    <row r="1069" spans="1:76" ht="14.4" x14ac:dyDescent="0.3">
      <c r="A1069" s="1" t="s">
        <v>1689</v>
      </c>
      <c r="B1069" s="2" t="s">
        <v>1690</v>
      </c>
      <c r="C1069" s="75" t="s">
        <v>1691</v>
      </c>
      <c r="D1069" s="70"/>
      <c r="E1069" s="2" t="s">
        <v>233</v>
      </c>
      <c r="F1069" s="50">
        <v>25</v>
      </c>
      <c r="G1069" s="50">
        <v>0</v>
      </c>
      <c r="H1069" s="50">
        <f>ROUND(F1069*AO1069,2)</f>
        <v>0</v>
      </c>
      <c r="I1069" s="50">
        <f>ROUND(F1069*AP1069,2)</f>
        <v>0</v>
      </c>
      <c r="J1069" s="50">
        <f>ROUND(F1069*G1069,2)</f>
        <v>0</v>
      </c>
      <c r="K1069" s="51" t="s">
        <v>116</v>
      </c>
      <c r="Z1069" s="50">
        <f>ROUND(IF(AQ1069="5",BJ1069,0),2)</f>
        <v>0</v>
      </c>
      <c r="AB1069" s="50">
        <f>ROUND(IF(AQ1069="1",BH1069,0),2)</f>
        <v>0</v>
      </c>
      <c r="AC1069" s="50">
        <f>ROUND(IF(AQ1069="1",BI1069,0),2)</f>
        <v>0</v>
      </c>
      <c r="AD1069" s="50">
        <f>ROUND(IF(AQ1069="7",BH1069,0),2)</f>
        <v>0</v>
      </c>
      <c r="AE1069" s="50">
        <f>ROUND(IF(AQ1069="7",BI1069,0),2)</f>
        <v>0</v>
      </c>
      <c r="AF1069" s="50">
        <f>ROUND(IF(AQ1069="2",BH1069,0),2)</f>
        <v>0</v>
      </c>
      <c r="AG1069" s="50">
        <f>ROUND(IF(AQ1069="2",BI1069,0),2)</f>
        <v>0</v>
      </c>
      <c r="AH1069" s="50">
        <f>ROUND(IF(AQ1069="0",BJ1069,0),2)</f>
        <v>0</v>
      </c>
      <c r="AI1069" s="32" t="s">
        <v>4</v>
      </c>
      <c r="AJ1069" s="50">
        <f>IF(AN1069=0,J1069,0)</f>
        <v>0</v>
      </c>
      <c r="AK1069" s="50">
        <f>IF(AN1069=12,J1069,0)</f>
        <v>0</v>
      </c>
      <c r="AL1069" s="50">
        <f>IF(AN1069=21,J1069,0)</f>
        <v>0</v>
      </c>
      <c r="AN1069" s="50">
        <v>21</v>
      </c>
      <c r="AO1069" s="50">
        <f>G1069*1</f>
        <v>0</v>
      </c>
      <c r="AP1069" s="50">
        <f>G1069*(1-1)</f>
        <v>0</v>
      </c>
      <c r="AQ1069" s="52" t="s">
        <v>132</v>
      </c>
      <c r="AV1069" s="50">
        <f>ROUND(AW1069+AX1069,2)</f>
        <v>0</v>
      </c>
      <c r="AW1069" s="50">
        <f>ROUND(F1069*AO1069,2)</f>
        <v>0</v>
      </c>
      <c r="AX1069" s="50">
        <f>ROUND(F1069*AP1069,2)</f>
        <v>0</v>
      </c>
      <c r="AY1069" s="52" t="s">
        <v>1667</v>
      </c>
      <c r="AZ1069" s="52" t="s">
        <v>1535</v>
      </c>
      <c r="BA1069" s="32" t="s">
        <v>119</v>
      </c>
      <c r="BC1069" s="50">
        <f>AW1069+AX1069</f>
        <v>0</v>
      </c>
      <c r="BD1069" s="50">
        <f>G1069/(100-BE1069)*100</f>
        <v>0</v>
      </c>
      <c r="BE1069" s="50">
        <v>0</v>
      </c>
      <c r="BF1069" s="50">
        <f>1069</f>
        <v>1069</v>
      </c>
      <c r="BH1069" s="50">
        <f>F1069*AO1069</f>
        <v>0</v>
      </c>
      <c r="BI1069" s="50">
        <f>F1069*AP1069</f>
        <v>0</v>
      </c>
      <c r="BJ1069" s="50">
        <f>F1069*G1069</f>
        <v>0</v>
      </c>
      <c r="BK1069" s="50"/>
      <c r="BL1069" s="50"/>
      <c r="BW1069" s="50">
        <v>21</v>
      </c>
      <c r="BX1069" s="3" t="s">
        <v>1691</v>
      </c>
    </row>
    <row r="1070" spans="1:76" ht="14.4" x14ac:dyDescent="0.3">
      <c r="A1070" s="53"/>
      <c r="C1070" s="54" t="s">
        <v>258</v>
      </c>
      <c r="D1070" s="54" t="s">
        <v>4</v>
      </c>
      <c r="F1070" s="55">
        <v>25</v>
      </c>
      <c r="K1070" s="56"/>
    </row>
    <row r="1071" spans="1:76" ht="14.4" x14ac:dyDescent="0.3">
      <c r="A1071" s="46" t="s">
        <v>4</v>
      </c>
      <c r="B1071" s="47" t="s">
        <v>1692</v>
      </c>
      <c r="C1071" s="148" t="s">
        <v>1693</v>
      </c>
      <c r="D1071" s="149"/>
      <c r="E1071" s="48" t="s">
        <v>74</v>
      </c>
      <c r="F1071" s="48" t="s">
        <v>74</v>
      </c>
      <c r="G1071" s="48" t="s">
        <v>74</v>
      </c>
      <c r="H1071" s="26">
        <f>SUM(H1072:H1077)</f>
        <v>0</v>
      </c>
      <c r="I1071" s="26">
        <f>SUM(I1072:I1077)</f>
        <v>0</v>
      </c>
      <c r="J1071" s="26">
        <f>SUM(J1072:J1077)</f>
        <v>0</v>
      </c>
      <c r="K1071" s="49" t="s">
        <v>4</v>
      </c>
      <c r="AI1071" s="32" t="s">
        <v>4</v>
      </c>
      <c r="AS1071" s="26">
        <f>SUM(AJ1072:AJ1077)</f>
        <v>0</v>
      </c>
      <c r="AT1071" s="26">
        <f>SUM(AK1072:AK1077)</f>
        <v>0</v>
      </c>
      <c r="AU1071" s="26">
        <f>SUM(AL1072:AL1077)</f>
        <v>0</v>
      </c>
    </row>
    <row r="1072" spans="1:76" ht="14.4" x14ac:dyDescent="0.3">
      <c r="A1072" s="1" t="s">
        <v>1694</v>
      </c>
      <c r="B1072" s="2" t="s">
        <v>1695</v>
      </c>
      <c r="C1072" s="75" t="s">
        <v>1696</v>
      </c>
      <c r="D1072" s="70"/>
      <c r="E1072" s="2" t="s">
        <v>233</v>
      </c>
      <c r="F1072" s="50">
        <v>29</v>
      </c>
      <c r="G1072" s="50">
        <v>0</v>
      </c>
      <c r="H1072" s="50">
        <f>ROUND(F1072*AO1072,2)</f>
        <v>0</v>
      </c>
      <c r="I1072" s="50">
        <f>ROUND(F1072*AP1072,2)</f>
        <v>0</v>
      </c>
      <c r="J1072" s="50">
        <f>ROUND(F1072*G1072,2)</f>
        <v>0</v>
      </c>
      <c r="K1072" s="51" t="s">
        <v>116</v>
      </c>
      <c r="Z1072" s="50">
        <f>ROUND(IF(AQ1072="5",BJ1072,0),2)</f>
        <v>0</v>
      </c>
      <c r="AB1072" s="50">
        <f>ROUND(IF(AQ1072="1",BH1072,0),2)</f>
        <v>0</v>
      </c>
      <c r="AC1072" s="50">
        <f>ROUND(IF(AQ1072="1",BI1072,0),2)</f>
        <v>0</v>
      </c>
      <c r="AD1072" s="50">
        <f>ROUND(IF(AQ1072="7",BH1072,0),2)</f>
        <v>0</v>
      </c>
      <c r="AE1072" s="50">
        <f>ROUND(IF(AQ1072="7",BI1072,0),2)</f>
        <v>0</v>
      </c>
      <c r="AF1072" s="50">
        <f>ROUND(IF(AQ1072="2",BH1072,0),2)</f>
        <v>0</v>
      </c>
      <c r="AG1072" s="50">
        <f>ROUND(IF(AQ1072="2",BI1072,0),2)</f>
        <v>0</v>
      </c>
      <c r="AH1072" s="50">
        <f>ROUND(IF(AQ1072="0",BJ1072,0),2)</f>
        <v>0</v>
      </c>
      <c r="AI1072" s="32" t="s">
        <v>4</v>
      </c>
      <c r="AJ1072" s="50">
        <f>IF(AN1072=0,J1072,0)</f>
        <v>0</v>
      </c>
      <c r="AK1072" s="50">
        <f>IF(AN1072=12,J1072,0)</f>
        <v>0</v>
      </c>
      <c r="AL1072" s="50">
        <f>IF(AN1072=21,J1072,0)</f>
        <v>0</v>
      </c>
      <c r="AN1072" s="50">
        <v>21</v>
      </c>
      <c r="AO1072" s="50">
        <f>G1072*0</f>
        <v>0</v>
      </c>
      <c r="AP1072" s="50">
        <f>G1072*(1-0)</f>
        <v>0</v>
      </c>
      <c r="AQ1072" s="52" t="s">
        <v>132</v>
      </c>
      <c r="AV1072" s="50">
        <f>ROUND(AW1072+AX1072,2)</f>
        <v>0</v>
      </c>
      <c r="AW1072" s="50">
        <f>ROUND(F1072*AO1072,2)</f>
        <v>0</v>
      </c>
      <c r="AX1072" s="50">
        <f>ROUND(F1072*AP1072,2)</f>
        <v>0</v>
      </c>
      <c r="AY1072" s="52" t="s">
        <v>1697</v>
      </c>
      <c r="AZ1072" s="52" t="s">
        <v>1535</v>
      </c>
      <c r="BA1072" s="32" t="s">
        <v>119</v>
      </c>
      <c r="BC1072" s="50">
        <f>AW1072+AX1072</f>
        <v>0</v>
      </c>
      <c r="BD1072" s="50">
        <f>G1072/(100-BE1072)*100</f>
        <v>0</v>
      </c>
      <c r="BE1072" s="50">
        <v>0</v>
      </c>
      <c r="BF1072" s="50">
        <f>1072</f>
        <v>1072</v>
      </c>
      <c r="BH1072" s="50">
        <f>F1072*AO1072</f>
        <v>0</v>
      </c>
      <c r="BI1072" s="50">
        <f>F1072*AP1072</f>
        <v>0</v>
      </c>
      <c r="BJ1072" s="50">
        <f>F1072*G1072</f>
        <v>0</v>
      </c>
      <c r="BK1072" s="50"/>
      <c r="BL1072" s="50"/>
      <c r="BW1072" s="50">
        <v>21</v>
      </c>
      <c r="BX1072" s="3" t="s">
        <v>1696</v>
      </c>
    </row>
    <row r="1073" spans="1:76" ht="14.4" x14ac:dyDescent="0.3">
      <c r="A1073" s="53"/>
      <c r="C1073" s="54" t="s">
        <v>275</v>
      </c>
      <c r="D1073" s="54" t="s">
        <v>1698</v>
      </c>
      <c r="F1073" s="55">
        <v>29</v>
      </c>
      <c r="K1073" s="56"/>
    </row>
    <row r="1074" spans="1:76" ht="14.4" x14ac:dyDescent="0.3">
      <c r="A1074" s="1" t="s">
        <v>1699</v>
      </c>
      <c r="B1074" s="2" t="s">
        <v>1700</v>
      </c>
      <c r="C1074" s="75" t="s">
        <v>1701</v>
      </c>
      <c r="D1074" s="70"/>
      <c r="E1074" s="2" t="s">
        <v>233</v>
      </c>
      <c r="F1074" s="50">
        <v>29</v>
      </c>
      <c r="G1074" s="50">
        <v>0</v>
      </c>
      <c r="H1074" s="50">
        <f>ROUND(F1074*AO1074,2)</f>
        <v>0</v>
      </c>
      <c r="I1074" s="50">
        <f>ROUND(F1074*AP1074,2)</f>
        <v>0</v>
      </c>
      <c r="J1074" s="50">
        <f>ROUND(F1074*G1074,2)</f>
        <v>0</v>
      </c>
      <c r="K1074" s="51" t="s">
        <v>116</v>
      </c>
      <c r="Z1074" s="50">
        <f>ROUND(IF(AQ1074="5",BJ1074,0),2)</f>
        <v>0</v>
      </c>
      <c r="AB1074" s="50">
        <f>ROUND(IF(AQ1074="1",BH1074,0),2)</f>
        <v>0</v>
      </c>
      <c r="AC1074" s="50">
        <f>ROUND(IF(AQ1074="1",BI1074,0),2)</f>
        <v>0</v>
      </c>
      <c r="AD1074" s="50">
        <f>ROUND(IF(AQ1074="7",BH1074,0),2)</f>
        <v>0</v>
      </c>
      <c r="AE1074" s="50">
        <f>ROUND(IF(AQ1074="7",BI1074,0),2)</f>
        <v>0</v>
      </c>
      <c r="AF1074" s="50">
        <f>ROUND(IF(AQ1074="2",BH1074,0),2)</f>
        <v>0</v>
      </c>
      <c r="AG1074" s="50">
        <f>ROUND(IF(AQ1074="2",BI1074,0),2)</f>
        <v>0</v>
      </c>
      <c r="AH1074" s="50">
        <f>ROUND(IF(AQ1074="0",BJ1074,0),2)</f>
        <v>0</v>
      </c>
      <c r="AI1074" s="32" t="s">
        <v>4</v>
      </c>
      <c r="AJ1074" s="50">
        <f>IF(AN1074=0,J1074,0)</f>
        <v>0</v>
      </c>
      <c r="AK1074" s="50">
        <f>IF(AN1074=12,J1074,0)</f>
        <v>0</v>
      </c>
      <c r="AL1074" s="50">
        <f>IF(AN1074=21,J1074,0)</f>
        <v>0</v>
      </c>
      <c r="AN1074" s="50">
        <v>21</v>
      </c>
      <c r="AO1074" s="50">
        <f>G1074*0.614691131</f>
        <v>0</v>
      </c>
      <c r="AP1074" s="50">
        <f>G1074*(1-0.614691131)</f>
        <v>0</v>
      </c>
      <c r="AQ1074" s="52" t="s">
        <v>132</v>
      </c>
      <c r="AV1074" s="50">
        <f>ROUND(AW1074+AX1074,2)</f>
        <v>0</v>
      </c>
      <c r="AW1074" s="50">
        <f>ROUND(F1074*AO1074,2)</f>
        <v>0</v>
      </c>
      <c r="AX1074" s="50">
        <f>ROUND(F1074*AP1074,2)</f>
        <v>0</v>
      </c>
      <c r="AY1074" s="52" t="s">
        <v>1697</v>
      </c>
      <c r="AZ1074" s="52" t="s">
        <v>1535</v>
      </c>
      <c r="BA1074" s="32" t="s">
        <v>119</v>
      </c>
      <c r="BC1074" s="50">
        <f>AW1074+AX1074</f>
        <v>0</v>
      </c>
      <c r="BD1074" s="50">
        <f>G1074/(100-BE1074)*100</f>
        <v>0</v>
      </c>
      <c r="BE1074" s="50">
        <v>0</v>
      </c>
      <c r="BF1074" s="50">
        <f>1074</f>
        <v>1074</v>
      </c>
      <c r="BH1074" s="50">
        <f>F1074*AO1074</f>
        <v>0</v>
      </c>
      <c r="BI1074" s="50">
        <f>F1074*AP1074</f>
        <v>0</v>
      </c>
      <c r="BJ1074" s="50">
        <f>F1074*G1074</f>
        <v>0</v>
      </c>
      <c r="BK1074" s="50"/>
      <c r="BL1074" s="50"/>
      <c r="BW1074" s="50">
        <v>21</v>
      </c>
      <c r="BX1074" s="3" t="s">
        <v>1701</v>
      </c>
    </row>
    <row r="1075" spans="1:76" ht="13.5" customHeight="1" x14ac:dyDescent="0.3">
      <c r="A1075" s="53"/>
      <c r="B1075" s="57" t="s">
        <v>198</v>
      </c>
      <c r="C1075" s="150" t="s">
        <v>1702</v>
      </c>
      <c r="D1075" s="151"/>
      <c r="E1075" s="151"/>
      <c r="F1075" s="151"/>
      <c r="G1075" s="151"/>
      <c r="H1075" s="151"/>
      <c r="I1075" s="151"/>
      <c r="J1075" s="151"/>
      <c r="K1075" s="152"/>
    </row>
    <row r="1076" spans="1:76" ht="14.4" x14ac:dyDescent="0.3">
      <c r="A1076" s="53"/>
      <c r="C1076" s="54" t="s">
        <v>275</v>
      </c>
      <c r="D1076" s="54" t="s">
        <v>1698</v>
      </c>
      <c r="F1076" s="55">
        <v>29</v>
      </c>
      <c r="K1076" s="56"/>
    </row>
    <row r="1077" spans="1:76" ht="14.4" x14ac:dyDescent="0.3">
      <c r="A1077" s="1" t="s">
        <v>1703</v>
      </c>
      <c r="B1077" s="2" t="s">
        <v>1704</v>
      </c>
      <c r="C1077" s="75" t="s">
        <v>1705</v>
      </c>
      <c r="D1077" s="70"/>
      <c r="E1077" s="2" t="s">
        <v>233</v>
      </c>
      <c r="F1077" s="50">
        <v>29</v>
      </c>
      <c r="G1077" s="50">
        <v>0</v>
      </c>
      <c r="H1077" s="50">
        <f>ROUND(F1077*AO1077,2)</f>
        <v>0</v>
      </c>
      <c r="I1077" s="50">
        <f>ROUND(F1077*AP1077,2)</f>
        <v>0</v>
      </c>
      <c r="J1077" s="50">
        <f>ROUND(F1077*G1077,2)</f>
        <v>0</v>
      </c>
      <c r="K1077" s="51" t="s">
        <v>116</v>
      </c>
      <c r="Z1077" s="50">
        <f>ROUND(IF(AQ1077="5",BJ1077,0),2)</f>
        <v>0</v>
      </c>
      <c r="AB1077" s="50">
        <f>ROUND(IF(AQ1077="1",BH1077,0),2)</f>
        <v>0</v>
      </c>
      <c r="AC1077" s="50">
        <f>ROUND(IF(AQ1077="1",BI1077,0),2)</f>
        <v>0</v>
      </c>
      <c r="AD1077" s="50">
        <f>ROUND(IF(AQ1077="7",BH1077,0),2)</f>
        <v>0</v>
      </c>
      <c r="AE1077" s="50">
        <f>ROUND(IF(AQ1077="7",BI1077,0),2)</f>
        <v>0</v>
      </c>
      <c r="AF1077" s="50">
        <f>ROUND(IF(AQ1077="2",BH1077,0),2)</f>
        <v>0</v>
      </c>
      <c r="AG1077" s="50">
        <f>ROUND(IF(AQ1077="2",BI1077,0),2)</f>
        <v>0</v>
      </c>
      <c r="AH1077" s="50">
        <f>ROUND(IF(AQ1077="0",BJ1077,0),2)</f>
        <v>0</v>
      </c>
      <c r="AI1077" s="32" t="s">
        <v>4</v>
      </c>
      <c r="AJ1077" s="50">
        <f>IF(AN1077=0,J1077,0)</f>
        <v>0</v>
      </c>
      <c r="AK1077" s="50">
        <f>IF(AN1077=12,J1077,0)</f>
        <v>0</v>
      </c>
      <c r="AL1077" s="50">
        <f>IF(AN1077=21,J1077,0)</f>
        <v>0</v>
      </c>
      <c r="AN1077" s="50">
        <v>21</v>
      </c>
      <c r="AO1077" s="50">
        <f>G1077*0</f>
        <v>0</v>
      </c>
      <c r="AP1077" s="50">
        <f>G1077*(1-0)</f>
        <v>0</v>
      </c>
      <c r="AQ1077" s="52" t="s">
        <v>132</v>
      </c>
      <c r="AV1077" s="50">
        <f>ROUND(AW1077+AX1077,2)</f>
        <v>0</v>
      </c>
      <c r="AW1077" s="50">
        <f>ROUND(F1077*AO1077,2)</f>
        <v>0</v>
      </c>
      <c r="AX1077" s="50">
        <f>ROUND(F1077*AP1077,2)</f>
        <v>0</v>
      </c>
      <c r="AY1077" s="52" t="s">
        <v>1697</v>
      </c>
      <c r="AZ1077" s="52" t="s">
        <v>1535</v>
      </c>
      <c r="BA1077" s="32" t="s">
        <v>119</v>
      </c>
      <c r="BC1077" s="50">
        <f>AW1077+AX1077</f>
        <v>0</v>
      </c>
      <c r="BD1077" s="50">
        <f>G1077/(100-BE1077)*100</f>
        <v>0</v>
      </c>
      <c r="BE1077" s="50">
        <v>0</v>
      </c>
      <c r="BF1077" s="50">
        <f>1077</f>
        <v>1077</v>
      </c>
      <c r="BH1077" s="50">
        <f>F1077*AO1077</f>
        <v>0</v>
      </c>
      <c r="BI1077" s="50">
        <f>F1077*AP1077</f>
        <v>0</v>
      </c>
      <c r="BJ1077" s="50">
        <f>F1077*G1077</f>
        <v>0</v>
      </c>
      <c r="BK1077" s="50"/>
      <c r="BL1077" s="50"/>
      <c r="BW1077" s="50">
        <v>21</v>
      </c>
      <c r="BX1077" s="3" t="s">
        <v>1705</v>
      </c>
    </row>
    <row r="1078" spans="1:76" ht="14.4" x14ac:dyDescent="0.3">
      <c r="A1078" s="53"/>
      <c r="C1078" s="54" t="s">
        <v>275</v>
      </c>
      <c r="D1078" s="54" t="s">
        <v>1698</v>
      </c>
      <c r="F1078" s="55">
        <v>29</v>
      </c>
      <c r="K1078" s="56"/>
    </row>
    <row r="1079" spans="1:76" ht="14.4" x14ac:dyDescent="0.3">
      <c r="A1079" s="46" t="s">
        <v>4</v>
      </c>
      <c r="B1079" s="47" t="s">
        <v>1706</v>
      </c>
      <c r="C1079" s="148" t="s">
        <v>1707</v>
      </c>
      <c r="D1079" s="149"/>
      <c r="E1079" s="48" t="s">
        <v>74</v>
      </c>
      <c r="F1079" s="48" t="s">
        <v>74</v>
      </c>
      <c r="G1079" s="48" t="s">
        <v>74</v>
      </c>
      <c r="H1079" s="26">
        <f>SUM(H1080:H1140)</f>
        <v>0</v>
      </c>
      <c r="I1079" s="26">
        <f>SUM(I1080:I1140)</f>
        <v>0</v>
      </c>
      <c r="J1079" s="26">
        <f>SUM(J1080:J1140)</f>
        <v>0</v>
      </c>
      <c r="K1079" s="49" t="s">
        <v>4</v>
      </c>
      <c r="AI1079" s="32" t="s">
        <v>4</v>
      </c>
      <c r="AS1079" s="26">
        <f>SUM(AJ1080:AJ1140)</f>
        <v>0</v>
      </c>
      <c r="AT1079" s="26">
        <f>SUM(AK1080:AK1140)</f>
        <v>0</v>
      </c>
      <c r="AU1079" s="26">
        <f>SUM(AL1080:AL1140)</f>
        <v>0</v>
      </c>
    </row>
    <row r="1080" spans="1:76" ht="14.4" x14ac:dyDescent="0.3">
      <c r="A1080" s="1" t="s">
        <v>1708</v>
      </c>
      <c r="B1080" s="2" t="s">
        <v>1709</v>
      </c>
      <c r="C1080" s="75" t="s">
        <v>1710</v>
      </c>
      <c r="D1080" s="70"/>
      <c r="E1080" s="2" t="s">
        <v>233</v>
      </c>
      <c r="F1080" s="50">
        <v>35</v>
      </c>
      <c r="G1080" s="50">
        <v>0</v>
      </c>
      <c r="H1080" s="50">
        <f>ROUND(F1080*AO1080,2)</f>
        <v>0</v>
      </c>
      <c r="I1080" s="50">
        <f>ROUND(F1080*AP1080,2)</f>
        <v>0</v>
      </c>
      <c r="J1080" s="50">
        <f>ROUND(F1080*G1080,2)</f>
        <v>0</v>
      </c>
      <c r="K1080" s="51" t="s">
        <v>116</v>
      </c>
      <c r="Z1080" s="50">
        <f>ROUND(IF(AQ1080="5",BJ1080,0),2)</f>
        <v>0</v>
      </c>
      <c r="AB1080" s="50">
        <f>ROUND(IF(AQ1080="1",BH1080,0),2)</f>
        <v>0</v>
      </c>
      <c r="AC1080" s="50">
        <f>ROUND(IF(AQ1080="1",BI1080,0),2)</f>
        <v>0</v>
      </c>
      <c r="AD1080" s="50">
        <f>ROUND(IF(AQ1080="7",BH1080,0),2)</f>
        <v>0</v>
      </c>
      <c r="AE1080" s="50">
        <f>ROUND(IF(AQ1080="7",BI1080,0),2)</f>
        <v>0</v>
      </c>
      <c r="AF1080" s="50">
        <f>ROUND(IF(AQ1080="2",BH1080,0),2)</f>
        <v>0</v>
      </c>
      <c r="AG1080" s="50">
        <f>ROUND(IF(AQ1080="2",BI1080,0),2)</f>
        <v>0</v>
      </c>
      <c r="AH1080" s="50">
        <f>ROUND(IF(AQ1080="0",BJ1080,0),2)</f>
        <v>0</v>
      </c>
      <c r="AI1080" s="32" t="s">
        <v>4</v>
      </c>
      <c r="AJ1080" s="50">
        <f>IF(AN1080=0,J1080,0)</f>
        <v>0</v>
      </c>
      <c r="AK1080" s="50">
        <f>IF(AN1080=12,J1080,0)</f>
        <v>0</v>
      </c>
      <c r="AL1080" s="50">
        <f>IF(AN1080=21,J1080,0)</f>
        <v>0</v>
      </c>
      <c r="AN1080" s="50">
        <v>21</v>
      </c>
      <c r="AO1080" s="50">
        <f>G1080*0.853386328</f>
        <v>0</v>
      </c>
      <c r="AP1080" s="50">
        <f>G1080*(1-0.853386328)</f>
        <v>0</v>
      </c>
      <c r="AQ1080" s="52" t="s">
        <v>132</v>
      </c>
      <c r="AV1080" s="50">
        <f>ROUND(AW1080+AX1080,2)</f>
        <v>0</v>
      </c>
      <c r="AW1080" s="50">
        <f>ROUND(F1080*AO1080,2)</f>
        <v>0</v>
      </c>
      <c r="AX1080" s="50">
        <f>ROUND(F1080*AP1080,2)</f>
        <v>0</v>
      </c>
      <c r="AY1080" s="52" t="s">
        <v>1711</v>
      </c>
      <c r="AZ1080" s="52" t="s">
        <v>1535</v>
      </c>
      <c r="BA1080" s="32" t="s">
        <v>119</v>
      </c>
      <c r="BC1080" s="50">
        <f>AW1080+AX1080</f>
        <v>0</v>
      </c>
      <c r="BD1080" s="50">
        <f>G1080/(100-BE1080)*100</f>
        <v>0</v>
      </c>
      <c r="BE1080" s="50">
        <v>0</v>
      </c>
      <c r="BF1080" s="50">
        <f>1080</f>
        <v>1080</v>
      </c>
      <c r="BH1080" s="50">
        <f>F1080*AO1080</f>
        <v>0</v>
      </c>
      <c r="BI1080" s="50">
        <f>F1080*AP1080</f>
        <v>0</v>
      </c>
      <c r="BJ1080" s="50">
        <f>F1080*G1080</f>
        <v>0</v>
      </c>
      <c r="BK1080" s="50"/>
      <c r="BL1080" s="50"/>
      <c r="BW1080" s="50">
        <v>21</v>
      </c>
      <c r="BX1080" s="3" t="s">
        <v>1710</v>
      </c>
    </row>
    <row r="1081" spans="1:76" ht="13.5" customHeight="1" x14ac:dyDescent="0.3">
      <c r="A1081" s="53"/>
      <c r="B1081" s="57" t="s">
        <v>198</v>
      </c>
      <c r="C1081" s="150" t="s">
        <v>1712</v>
      </c>
      <c r="D1081" s="151"/>
      <c r="E1081" s="151"/>
      <c r="F1081" s="151"/>
      <c r="G1081" s="151"/>
      <c r="H1081" s="151"/>
      <c r="I1081" s="151"/>
      <c r="J1081" s="151"/>
      <c r="K1081" s="152"/>
    </row>
    <row r="1082" spans="1:76" ht="14.4" x14ac:dyDescent="0.3">
      <c r="A1082" s="53"/>
      <c r="C1082" s="54" t="s">
        <v>299</v>
      </c>
      <c r="D1082" s="54" t="s">
        <v>1698</v>
      </c>
      <c r="F1082" s="55">
        <v>35</v>
      </c>
      <c r="K1082" s="56"/>
    </row>
    <row r="1083" spans="1:76" ht="14.4" x14ac:dyDescent="0.3">
      <c r="A1083" s="1" t="s">
        <v>1713</v>
      </c>
      <c r="B1083" s="2" t="s">
        <v>1714</v>
      </c>
      <c r="C1083" s="75" t="s">
        <v>1715</v>
      </c>
      <c r="D1083" s="70"/>
      <c r="E1083" s="2" t="s">
        <v>278</v>
      </c>
      <c r="F1083" s="50">
        <v>7</v>
      </c>
      <c r="G1083" s="50">
        <v>0</v>
      </c>
      <c r="H1083" s="50">
        <f>ROUND(F1083*AO1083,2)</f>
        <v>0</v>
      </c>
      <c r="I1083" s="50">
        <f>ROUND(F1083*AP1083,2)</f>
        <v>0</v>
      </c>
      <c r="J1083" s="50">
        <f>ROUND(F1083*G1083,2)</f>
        <v>0</v>
      </c>
      <c r="K1083" s="51" t="s">
        <v>116</v>
      </c>
      <c r="Z1083" s="50">
        <f>ROUND(IF(AQ1083="5",BJ1083,0),2)</f>
        <v>0</v>
      </c>
      <c r="AB1083" s="50">
        <f>ROUND(IF(AQ1083="1",BH1083,0),2)</f>
        <v>0</v>
      </c>
      <c r="AC1083" s="50">
        <f>ROUND(IF(AQ1083="1",BI1083,0),2)</f>
        <v>0</v>
      </c>
      <c r="AD1083" s="50">
        <f>ROUND(IF(AQ1083="7",BH1083,0),2)</f>
        <v>0</v>
      </c>
      <c r="AE1083" s="50">
        <f>ROUND(IF(AQ1083="7",BI1083,0),2)</f>
        <v>0</v>
      </c>
      <c r="AF1083" s="50">
        <f>ROUND(IF(AQ1083="2",BH1083,0),2)</f>
        <v>0</v>
      </c>
      <c r="AG1083" s="50">
        <f>ROUND(IF(AQ1083="2",BI1083,0),2)</f>
        <v>0</v>
      </c>
      <c r="AH1083" s="50">
        <f>ROUND(IF(AQ1083="0",BJ1083,0),2)</f>
        <v>0</v>
      </c>
      <c r="AI1083" s="32" t="s">
        <v>4</v>
      </c>
      <c r="AJ1083" s="50">
        <f>IF(AN1083=0,J1083,0)</f>
        <v>0</v>
      </c>
      <c r="AK1083" s="50">
        <f>IF(AN1083=12,J1083,0)</f>
        <v>0</v>
      </c>
      <c r="AL1083" s="50">
        <f>IF(AN1083=21,J1083,0)</f>
        <v>0</v>
      </c>
      <c r="AN1083" s="50">
        <v>21</v>
      </c>
      <c r="AO1083" s="50">
        <f>G1083*0.726755952</f>
        <v>0</v>
      </c>
      <c r="AP1083" s="50">
        <f>G1083*(1-0.726755952)</f>
        <v>0</v>
      </c>
      <c r="AQ1083" s="52" t="s">
        <v>132</v>
      </c>
      <c r="AV1083" s="50">
        <f>ROUND(AW1083+AX1083,2)</f>
        <v>0</v>
      </c>
      <c r="AW1083" s="50">
        <f>ROUND(F1083*AO1083,2)</f>
        <v>0</v>
      </c>
      <c r="AX1083" s="50">
        <f>ROUND(F1083*AP1083,2)</f>
        <v>0</v>
      </c>
      <c r="AY1083" s="52" t="s">
        <v>1711</v>
      </c>
      <c r="AZ1083" s="52" t="s">
        <v>1535</v>
      </c>
      <c r="BA1083" s="32" t="s">
        <v>119</v>
      </c>
      <c r="BC1083" s="50">
        <f>AW1083+AX1083</f>
        <v>0</v>
      </c>
      <c r="BD1083" s="50">
        <f>G1083/(100-BE1083)*100</f>
        <v>0</v>
      </c>
      <c r="BE1083" s="50">
        <v>0</v>
      </c>
      <c r="BF1083" s="50">
        <f>1083</f>
        <v>1083</v>
      </c>
      <c r="BH1083" s="50">
        <f>F1083*AO1083</f>
        <v>0</v>
      </c>
      <c r="BI1083" s="50">
        <f>F1083*AP1083</f>
        <v>0</v>
      </c>
      <c r="BJ1083" s="50">
        <f>F1083*G1083</f>
        <v>0</v>
      </c>
      <c r="BK1083" s="50"/>
      <c r="BL1083" s="50"/>
      <c r="BW1083" s="50">
        <v>21</v>
      </c>
      <c r="BX1083" s="3" t="s">
        <v>1715</v>
      </c>
    </row>
    <row r="1084" spans="1:76" ht="13.5" customHeight="1" x14ac:dyDescent="0.3">
      <c r="A1084" s="53"/>
      <c r="B1084" s="57" t="s">
        <v>198</v>
      </c>
      <c r="C1084" s="150" t="s">
        <v>1716</v>
      </c>
      <c r="D1084" s="151"/>
      <c r="E1084" s="151"/>
      <c r="F1084" s="151"/>
      <c r="G1084" s="151"/>
      <c r="H1084" s="151"/>
      <c r="I1084" s="151"/>
      <c r="J1084" s="151"/>
      <c r="K1084" s="152"/>
    </row>
    <row r="1085" spans="1:76" ht="14.4" x14ac:dyDescent="0.3">
      <c r="A1085" s="53"/>
      <c r="C1085" s="54" t="s">
        <v>158</v>
      </c>
      <c r="D1085" s="54" t="s">
        <v>4</v>
      </c>
      <c r="F1085" s="55">
        <v>7</v>
      </c>
      <c r="K1085" s="56"/>
    </row>
    <row r="1086" spans="1:76" ht="14.4" x14ac:dyDescent="0.3">
      <c r="A1086" s="1" t="s">
        <v>1717</v>
      </c>
      <c r="B1086" s="2" t="s">
        <v>1718</v>
      </c>
      <c r="C1086" s="75" t="s">
        <v>1719</v>
      </c>
      <c r="D1086" s="70"/>
      <c r="E1086" s="2" t="s">
        <v>278</v>
      </c>
      <c r="F1086" s="50">
        <v>6</v>
      </c>
      <c r="G1086" s="50">
        <v>0</v>
      </c>
      <c r="H1086" s="50">
        <f>ROUND(F1086*AO1086,2)</f>
        <v>0</v>
      </c>
      <c r="I1086" s="50">
        <f>ROUND(F1086*AP1086,2)</f>
        <v>0</v>
      </c>
      <c r="J1086" s="50">
        <f>ROUND(F1086*G1086,2)</f>
        <v>0</v>
      </c>
      <c r="K1086" s="51" t="s">
        <v>116</v>
      </c>
      <c r="Z1086" s="50">
        <f>ROUND(IF(AQ1086="5",BJ1086,0),2)</f>
        <v>0</v>
      </c>
      <c r="AB1086" s="50">
        <f>ROUND(IF(AQ1086="1",BH1086,0),2)</f>
        <v>0</v>
      </c>
      <c r="AC1086" s="50">
        <f>ROUND(IF(AQ1086="1",BI1086,0),2)</f>
        <v>0</v>
      </c>
      <c r="AD1086" s="50">
        <f>ROUND(IF(AQ1086="7",BH1086,0),2)</f>
        <v>0</v>
      </c>
      <c r="AE1086" s="50">
        <f>ROUND(IF(AQ1086="7",BI1086,0),2)</f>
        <v>0</v>
      </c>
      <c r="AF1086" s="50">
        <f>ROUND(IF(AQ1086="2",BH1086,0),2)</f>
        <v>0</v>
      </c>
      <c r="AG1086" s="50">
        <f>ROUND(IF(AQ1086="2",BI1086,0),2)</f>
        <v>0</v>
      </c>
      <c r="AH1086" s="50">
        <f>ROUND(IF(AQ1086="0",BJ1086,0),2)</f>
        <v>0</v>
      </c>
      <c r="AI1086" s="32" t="s">
        <v>4</v>
      </c>
      <c r="AJ1086" s="50">
        <f>IF(AN1086=0,J1086,0)</f>
        <v>0</v>
      </c>
      <c r="AK1086" s="50">
        <f>IF(AN1086=12,J1086,0)</f>
        <v>0</v>
      </c>
      <c r="AL1086" s="50">
        <f>IF(AN1086=21,J1086,0)</f>
        <v>0</v>
      </c>
      <c r="AN1086" s="50">
        <v>21</v>
      </c>
      <c r="AO1086" s="50">
        <f>G1086*0.707568456</f>
        <v>0</v>
      </c>
      <c r="AP1086" s="50">
        <f>G1086*(1-0.707568456)</f>
        <v>0</v>
      </c>
      <c r="AQ1086" s="52" t="s">
        <v>132</v>
      </c>
      <c r="AV1086" s="50">
        <f>ROUND(AW1086+AX1086,2)</f>
        <v>0</v>
      </c>
      <c r="AW1086" s="50">
        <f>ROUND(F1086*AO1086,2)</f>
        <v>0</v>
      </c>
      <c r="AX1086" s="50">
        <f>ROUND(F1086*AP1086,2)</f>
        <v>0</v>
      </c>
      <c r="AY1086" s="52" t="s">
        <v>1711</v>
      </c>
      <c r="AZ1086" s="52" t="s">
        <v>1535</v>
      </c>
      <c r="BA1086" s="32" t="s">
        <v>119</v>
      </c>
      <c r="BC1086" s="50">
        <f>AW1086+AX1086</f>
        <v>0</v>
      </c>
      <c r="BD1086" s="50">
        <f>G1086/(100-BE1086)*100</f>
        <v>0</v>
      </c>
      <c r="BE1086" s="50">
        <v>0</v>
      </c>
      <c r="BF1086" s="50">
        <f>1086</f>
        <v>1086</v>
      </c>
      <c r="BH1086" s="50">
        <f>F1086*AO1086</f>
        <v>0</v>
      </c>
      <c r="BI1086" s="50">
        <f>F1086*AP1086</f>
        <v>0</v>
      </c>
      <c r="BJ1086" s="50">
        <f>F1086*G1086</f>
        <v>0</v>
      </c>
      <c r="BK1086" s="50"/>
      <c r="BL1086" s="50"/>
      <c r="BW1086" s="50">
        <v>21</v>
      </c>
      <c r="BX1086" s="3" t="s">
        <v>1719</v>
      </c>
    </row>
    <row r="1087" spans="1:76" ht="13.5" customHeight="1" x14ac:dyDescent="0.3">
      <c r="A1087" s="53"/>
      <c r="B1087" s="57" t="s">
        <v>198</v>
      </c>
      <c r="C1087" s="150" t="s">
        <v>1716</v>
      </c>
      <c r="D1087" s="151"/>
      <c r="E1087" s="151"/>
      <c r="F1087" s="151"/>
      <c r="G1087" s="151"/>
      <c r="H1087" s="151"/>
      <c r="I1087" s="151"/>
      <c r="J1087" s="151"/>
      <c r="K1087" s="152"/>
    </row>
    <row r="1088" spans="1:76" ht="14.4" x14ac:dyDescent="0.3">
      <c r="A1088" s="53"/>
      <c r="C1088" s="54" t="s">
        <v>150</v>
      </c>
      <c r="D1088" s="54" t="s">
        <v>4</v>
      </c>
      <c r="F1088" s="55">
        <v>6</v>
      </c>
      <c r="K1088" s="56"/>
    </row>
    <row r="1089" spans="1:76" ht="14.4" x14ac:dyDescent="0.3">
      <c r="A1089" s="1" t="s">
        <v>1720</v>
      </c>
      <c r="B1089" s="2" t="s">
        <v>1721</v>
      </c>
      <c r="C1089" s="75" t="s">
        <v>1722</v>
      </c>
      <c r="D1089" s="70"/>
      <c r="E1089" s="2" t="s">
        <v>278</v>
      </c>
      <c r="F1089" s="50">
        <v>7</v>
      </c>
      <c r="G1089" s="50">
        <v>0</v>
      </c>
      <c r="H1089" s="50">
        <f>ROUND(F1089*AO1089,2)</f>
        <v>0</v>
      </c>
      <c r="I1089" s="50">
        <f>ROUND(F1089*AP1089,2)</f>
        <v>0</v>
      </c>
      <c r="J1089" s="50">
        <f>ROUND(F1089*G1089,2)</f>
        <v>0</v>
      </c>
      <c r="K1089" s="51" t="s">
        <v>116</v>
      </c>
      <c r="Z1089" s="50">
        <f>ROUND(IF(AQ1089="5",BJ1089,0),2)</f>
        <v>0</v>
      </c>
      <c r="AB1089" s="50">
        <f>ROUND(IF(AQ1089="1",BH1089,0),2)</f>
        <v>0</v>
      </c>
      <c r="AC1089" s="50">
        <f>ROUND(IF(AQ1089="1",BI1089,0),2)</f>
        <v>0</v>
      </c>
      <c r="AD1089" s="50">
        <f>ROUND(IF(AQ1089="7",BH1089,0),2)</f>
        <v>0</v>
      </c>
      <c r="AE1089" s="50">
        <f>ROUND(IF(AQ1089="7",BI1089,0),2)</f>
        <v>0</v>
      </c>
      <c r="AF1089" s="50">
        <f>ROUND(IF(AQ1089="2",BH1089,0),2)</f>
        <v>0</v>
      </c>
      <c r="AG1089" s="50">
        <f>ROUND(IF(AQ1089="2",BI1089,0),2)</f>
        <v>0</v>
      </c>
      <c r="AH1089" s="50">
        <f>ROUND(IF(AQ1089="0",BJ1089,0),2)</f>
        <v>0</v>
      </c>
      <c r="AI1089" s="32" t="s">
        <v>4</v>
      </c>
      <c r="AJ1089" s="50">
        <f>IF(AN1089=0,J1089,0)</f>
        <v>0</v>
      </c>
      <c r="AK1089" s="50">
        <f>IF(AN1089=12,J1089,0)</f>
        <v>0</v>
      </c>
      <c r="AL1089" s="50">
        <f>IF(AN1089=21,J1089,0)</f>
        <v>0</v>
      </c>
      <c r="AN1089" s="50">
        <v>21</v>
      </c>
      <c r="AO1089" s="50">
        <f>G1089*0.73319774</f>
        <v>0</v>
      </c>
      <c r="AP1089" s="50">
        <f>G1089*(1-0.73319774)</f>
        <v>0</v>
      </c>
      <c r="AQ1089" s="52" t="s">
        <v>132</v>
      </c>
      <c r="AV1089" s="50">
        <f>ROUND(AW1089+AX1089,2)</f>
        <v>0</v>
      </c>
      <c r="AW1089" s="50">
        <f>ROUND(F1089*AO1089,2)</f>
        <v>0</v>
      </c>
      <c r="AX1089" s="50">
        <f>ROUND(F1089*AP1089,2)</f>
        <v>0</v>
      </c>
      <c r="AY1089" s="52" t="s">
        <v>1711</v>
      </c>
      <c r="AZ1089" s="52" t="s">
        <v>1535</v>
      </c>
      <c r="BA1089" s="32" t="s">
        <v>119</v>
      </c>
      <c r="BC1089" s="50">
        <f>AW1089+AX1089</f>
        <v>0</v>
      </c>
      <c r="BD1089" s="50">
        <f>G1089/(100-BE1089)*100</f>
        <v>0</v>
      </c>
      <c r="BE1089" s="50">
        <v>0</v>
      </c>
      <c r="BF1089" s="50">
        <f>1089</f>
        <v>1089</v>
      </c>
      <c r="BH1089" s="50">
        <f>F1089*AO1089</f>
        <v>0</v>
      </c>
      <c r="BI1089" s="50">
        <f>F1089*AP1089</f>
        <v>0</v>
      </c>
      <c r="BJ1089" s="50">
        <f>F1089*G1089</f>
        <v>0</v>
      </c>
      <c r="BK1089" s="50"/>
      <c r="BL1089" s="50"/>
      <c r="BW1089" s="50">
        <v>21</v>
      </c>
      <c r="BX1089" s="3" t="s">
        <v>1722</v>
      </c>
    </row>
    <row r="1090" spans="1:76" ht="13.5" customHeight="1" x14ac:dyDescent="0.3">
      <c r="A1090" s="53"/>
      <c r="B1090" s="57" t="s">
        <v>198</v>
      </c>
      <c r="C1090" s="150" t="s">
        <v>1716</v>
      </c>
      <c r="D1090" s="151"/>
      <c r="E1090" s="151"/>
      <c r="F1090" s="151"/>
      <c r="G1090" s="151"/>
      <c r="H1090" s="151"/>
      <c r="I1090" s="151"/>
      <c r="J1090" s="151"/>
      <c r="K1090" s="152"/>
    </row>
    <row r="1091" spans="1:76" ht="14.4" x14ac:dyDescent="0.3">
      <c r="A1091" s="53"/>
      <c r="C1091" s="54" t="s">
        <v>158</v>
      </c>
      <c r="D1091" s="54" t="s">
        <v>4</v>
      </c>
      <c r="F1091" s="55">
        <v>7</v>
      </c>
      <c r="K1091" s="56"/>
    </row>
    <row r="1092" spans="1:76" ht="14.4" x14ac:dyDescent="0.3">
      <c r="A1092" s="1" t="s">
        <v>1723</v>
      </c>
      <c r="B1092" s="2" t="s">
        <v>1724</v>
      </c>
      <c r="C1092" s="75" t="s">
        <v>1725</v>
      </c>
      <c r="D1092" s="70"/>
      <c r="E1092" s="2" t="s">
        <v>278</v>
      </c>
      <c r="F1092" s="50">
        <v>24</v>
      </c>
      <c r="G1092" s="50">
        <v>0</v>
      </c>
      <c r="H1092" s="50">
        <f>ROUND(F1092*AO1092,2)</f>
        <v>0</v>
      </c>
      <c r="I1092" s="50">
        <f>ROUND(F1092*AP1092,2)</f>
        <v>0</v>
      </c>
      <c r="J1092" s="50">
        <f>ROUND(F1092*G1092,2)</f>
        <v>0</v>
      </c>
      <c r="K1092" s="51" t="s">
        <v>116</v>
      </c>
      <c r="Z1092" s="50">
        <f>ROUND(IF(AQ1092="5",BJ1092,0),2)</f>
        <v>0</v>
      </c>
      <c r="AB1092" s="50">
        <f>ROUND(IF(AQ1092="1",BH1092,0),2)</f>
        <v>0</v>
      </c>
      <c r="AC1092" s="50">
        <f>ROUND(IF(AQ1092="1",BI1092,0),2)</f>
        <v>0</v>
      </c>
      <c r="AD1092" s="50">
        <f>ROUND(IF(AQ1092="7",BH1092,0),2)</f>
        <v>0</v>
      </c>
      <c r="AE1092" s="50">
        <f>ROUND(IF(AQ1092="7",BI1092,0),2)</f>
        <v>0</v>
      </c>
      <c r="AF1092" s="50">
        <f>ROUND(IF(AQ1092="2",BH1092,0),2)</f>
        <v>0</v>
      </c>
      <c r="AG1092" s="50">
        <f>ROUND(IF(AQ1092="2",BI1092,0),2)</f>
        <v>0</v>
      </c>
      <c r="AH1092" s="50">
        <f>ROUND(IF(AQ1092="0",BJ1092,0),2)</f>
        <v>0</v>
      </c>
      <c r="AI1092" s="32" t="s">
        <v>4</v>
      </c>
      <c r="AJ1092" s="50">
        <f>IF(AN1092=0,J1092,0)</f>
        <v>0</v>
      </c>
      <c r="AK1092" s="50">
        <f>IF(AN1092=12,J1092,0)</f>
        <v>0</v>
      </c>
      <c r="AL1092" s="50">
        <f>IF(AN1092=21,J1092,0)</f>
        <v>0</v>
      </c>
      <c r="AN1092" s="50">
        <v>21</v>
      </c>
      <c r="AO1092" s="50">
        <f>G1092*0.595349941</f>
        <v>0</v>
      </c>
      <c r="AP1092" s="50">
        <f>G1092*(1-0.595349941)</f>
        <v>0</v>
      </c>
      <c r="AQ1092" s="52" t="s">
        <v>132</v>
      </c>
      <c r="AV1092" s="50">
        <f>ROUND(AW1092+AX1092,2)</f>
        <v>0</v>
      </c>
      <c r="AW1092" s="50">
        <f>ROUND(F1092*AO1092,2)</f>
        <v>0</v>
      </c>
      <c r="AX1092" s="50">
        <f>ROUND(F1092*AP1092,2)</f>
        <v>0</v>
      </c>
      <c r="AY1092" s="52" t="s">
        <v>1711</v>
      </c>
      <c r="AZ1092" s="52" t="s">
        <v>1535</v>
      </c>
      <c r="BA1092" s="32" t="s">
        <v>119</v>
      </c>
      <c r="BC1092" s="50">
        <f>AW1092+AX1092</f>
        <v>0</v>
      </c>
      <c r="BD1092" s="50">
        <f>G1092/(100-BE1092)*100</f>
        <v>0</v>
      </c>
      <c r="BE1092" s="50">
        <v>0</v>
      </c>
      <c r="BF1092" s="50">
        <f>1092</f>
        <v>1092</v>
      </c>
      <c r="BH1092" s="50">
        <f>F1092*AO1092</f>
        <v>0</v>
      </c>
      <c r="BI1092" s="50">
        <f>F1092*AP1092</f>
        <v>0</v>
      </c>
      <c r="BJ1092" s="50">
        <f>F1092*G1092</f>
        <v>0</v>
      </c>
      <c r="BK1092" s="50"/>
      <c r="BL1092" s="50"/>
      <c r="BW1092" s="50">
        <v>21</v>
      </c>
      <c r="BX1092" s="3" t="s">
        <v>1725</v>
      </c>
    </row>
    <row r="1093" spans="1:76" ht="13.5" customHeight="1" x14ac:dyDescent="0.3">
      <c r="A1093" s="53"/>
      <c r="B1093" s="57" t="s">
        <v>198</v>
      </c>
      <c r="C1093" s="150" t="s">
        <v>1726</v>
      </c>
      <c r="D1093" s="151"/>
      <c r="E1093" s="151"/>
      <c r="F1093" s="151"/>
      <c r="G1093" s="151"/>
      <c r="H1093" s="151"/>
      <c r="I1093" s="151"/>
      <c r="J1093" s="151"/>
      <c r="K1093" s="152"/>
    </row>
    <row r="1094" spans="1:76" ht="14.4" x14ac:dyDescent="0.3">
      <c r="A1094" s="53"/>
      <c r="C1094" s="54" t="s">
        <v>250</v>
      </c>
      <c r="D1094" s="54" t="s">
        <v>4</v>
      </c>
      <c r="F1094" s="55">
        <v>23</v>
      </c>
      <c r="K1094" s="56"/>
    </row>
    <row r="1095" spans="1:76" ht="14.4" x14ac:dyDescent="0.3">
      <c r="A1095" s="53"/>
      <c r="C1095" s="54" t="s">
        <v>112</v>
      </c>
      <c r="D1095" s="54" t="s">
        <v>4</v>
      </c>
      <c r="F1095" s="55">
        <v>1</v>
      </c>
      <c r="K1095" s="56"/>
    </row>
    <row r="1096" spans="1:76" ht="14.4" x14ac:dyDescent="0.3">
      <c r="A1096" s="1" t="s">
        <v>1727</v>
      </c>
      <c r="B1096" s="2" t="s">
        <v>1728</v>
      </c>
      <c r="C1096" s="75" t="s">
        <v>1729</v>
      </c>
      <c r="D1096" s="70"/>
      <c r="E1096" s="2" t="s">
        <v>278</v>
      </c>
      <c r="F1096" s="50">
        <v>7</v>
      </c>
      <c r="G1096" s="50">
        <v>0</v>
      </c>
      <c r="H1096" s="50">
        <f>ROUND(F1096*AO1096,2)</f>
        <v>0</v>
      </c>
      <c r="I1096" s="50">
        <f>ROUND(F1096*AP1096,2)</f>
        <v>0</v>
      </c>
      <c r="J1096" s="50">
        <f>ROUND(F1096*G1096,2)</f>
        <v>0</v>
      </c>
      <c r="K1096" s="51" t="s">
        <v>116</v>
      </c>
      <c r="Z1096" s="50">
        <f>ROUND(IF(AQ1096="5",BJ1096,0),2)</f>
        <v>0</v>
      </c>
      <c r="AB1096" s="50">
        <f>ROUND(IF(AQ1096="1",BH1096,0),2)</f>
        <v>0</v>
      </c>
      <c r="AC1096" s="50">
        <f>ROUND(IF(AQ1096="1",BI1096,0),2)</f>
        <v>0</v>
      </c>
      <c r="AD1096" s="50">
        <f>ROUND(IF(AQ1096="7",BH1096,0),2)</f>
        <v>0</v>
      </c>
      <c r="AE1096" s="50">
        <f>ROUND(IF(AQ1096="7",BI1096,0),2)</f>
        <v>0</v>
      </c>
      <c r="AF1096" s="50">
        <f>ROUND(IF(AQ1096="2",BH1096,0),2)</f>
        <v>0</v>
      </c>
      <c r="AG1096" s="50">
        <f>ROUND(IF(AQ1096="2",BI1096,0),2)</f>
        <v>0</v>
      </c>
      <c r="AH1096" s="50">
        <f>ROUND(IF(AQ1096="0",BJ1096,0),2)</f>
        <v>0</v>
      </c>
      <c r="AI1096" s="32" t="s">
        <v>4</v>
      </c>
      <c r="AJ1096" s="50">
        <f>IF(AN1096=0,J1096,0)</f>
        <v>0</v>
      </c>
      <c r="AK1096" s="50">
        <f>IF(AN1096=12,J1096,0)</f>
        <v>0</v>
      </c>
      <c r="AL1096" s="50">
        <f>IF(AN1096=21,J1096,0)</f>
        <v>0</v>
      </c>
      <c r="AN1096" s="50">
        <v>21</v>
      </c>
      <c r="AO1096" s="50">
        <f>G1096*0.578541667</f>
        <v>0</v>
      </c>
      <c r="AP1096" s="50">
        <f>G1096*(1-0.578541667)</f>
        <v>0</v>
      </c>
      <c r="AQ1096" s="52" t="s">
        <v>132</v>
      </c>
      <c r="AV1096" s="50">
        <f>ROUND(AW1096+AX1096,2)</f>
        <v>0</v>
      </c>
      <c r="AW1096" s="50">
        <f>ROUND(F1096*AO1096,2)</f>
        <v>0</v>
      </c>
      <c r="AX1096" s="50">
        <f>ROUND(F1096*AP1096,2)</f>
        <v>0</v>
      </c>
      <c r="AY1096" s="52" t="s">
        <v>1711</v>
      </c>
      <c r="AZ1096" s="52" t="s">
        <v>1535</v>
      </c>
      <c r="BA1096" s="32" t="s">
        <v>119</v>
      </c>
      <c r="BC1096" s="50">
        <f>AW1096+AX1096</f>
        <v>0</v>
      </c>
      <c r="BD1096" s="50">
        <f>G1096/(100-BE1096)*100</f>
        <v>0</v>
      </c>
      <c r="BE1096" s="50">
        <v>0</v>
      </c>
      <c r="BF1096" s="50">
        <f>1096</f>
        <v>1096</v>
      </c>
      <c r="BH1096" s="50">
        <f>F1096*AO1096</f>
        <v>0</v>
      </c>
      <c r="BI1096" s="50">
        <f>F1096*AP1096</f>
        <v>0</v>
      </c>
      <c r="BJ1096" s="50">
        <f>F1096*G1096</f>
        <v>0</v>
      </c>
      <c r="BK1096" s="50"/>
      <c r="BL1096" s="50"/>
      <c r="BW1096" s="50">
        <v>21</v>
      </c>
      <c r="BX1096" s="3" t="s">
        <v>1729</v>
      </c>
    </row>
    <row r="1097" spans="1:76" ht="13.5" customHeight="1" x14ac:dyDescent="0.3">
      <c r="A1097" s="53"/>
      <c r="B1097" s="57" t="s">
        <v>198</v>
      </c>
      <c r="C1097" s="150" t="s">
        <v>1730</v>
      </c>
      <c r="D1097" s="151"/>
      <c r="E1097" s="151"/>
      <c r="F1097" s="151"/>
      <c r="G1097" s="151"/>
      <c r="H1097" s="151"/>
      <c r="I1097" s="151"/>
      <c r="J1097" s="151"/>
      <c r="K1097" s="152"/>
    </row>
    <row r="1098" spans="1:76" ht="14.4" x14ac:dyDescent="0.3">
      <c r="A1098" s="53"/>
      <c r="C1098" s="54" t="s">
        <v>1731</v>
      </c>
      <c r="D1098" s="54" t="s">
        <v>4</v>
      </c>
      <c r="F1098" s="55">
        <v>7</v>
      </c>
      <c r="K1098" s="56"/>
    </row>
    <row r="1099" spans="1:76" ht="14.4" x14ac:dyDescent="0.3">
      <c r="A1099" s="1" t="s">
        <v>1732</v>
      </c>
      <c r="B1099" s="2" t="s">
        <v>1733</v>
      </c>
      <c r="C1099" s="75" t="s">
        <v>1734</v>
      </c>
      <c r="D1099" s="70"/>
      <c r="E1099" s="2" t="s">
        <v>278</v>
      </c>
      <c r="F1099" s="50">
        <v>4</v>
      </c>
      <c r="G1099" s="50">
        <v>0</v>
      </c>
      <c r="H1099" s="50">
        <f>ROUND(F1099*AO1099,2)</f>
        <v>0</v>
      </c>
      <c r="I1099" s="50">
        <f>ROUND(F1099*AP1099,2)</f>
        <v>0</v>
      </c>
      <c r="J1099" s="50">
        <f>ROUND(F1099*G1099,2)</f>
        <v>0</v>
      </c>
      <c r="K1099" s="51" t="s">
        <v>116</v>
      </c>
      <c r="Z1099" s="50">
        <f>ROUND(IF(AQ1099="5",BJ1099,0),2)</f>
        <v>0</v>
      </c>
      <c r="AB1099" s="50">
        <f>ROUND(IF(AQ1099="1",BH1099,0),2)</f>
        <v>0</v>
      </c>
      <c r="AC1099" s="50">
        <f>ROUND(IF(AQ1099="1",BI1099,0),2)</f>
        <v>0</v>
      </c>
      <c r="AD1099" s="50">
        <f>ROUND(IF(AQ1099="7",BH1099,0),2)</f>
        <v>0</v>
      </c>
      <c r="AE1099" s="50">
        <f>ROUND(IF(AQ1099="7",BI1099,0),2)</f>
        <v>0</v>
      </c>
      <c r="AF1099" s="50">
        <f>ROUND(IF(AQ1099="2",BH1099,0),2)</f>
        <v>0</v>
      </c>
      <c r="AG1099" s="50">
        <f>ROUND(IF(AQ1099="2",BI1099,0),2)</f>
        <v>0</v>
      </c>
      <c r="AH1099" s="50">
        <f>ROUND(IF(AQ1099="0",BJ1099,0),2)</f>
        <v>0</v>
      </c>
      <c r="AI1099" s="32" t="s">
        <v>4</v>
      </c>
      <c r="AJ1099" s="50">
        <f>IF(AN1099=0,J1099,0)</f>
        <v>0</v>
      </c>
      <c r="AK1099" s="50">
        <f>IF(AN1099=12,J1099,0)</f>
        <v>0</v>
      </c>
      <c r="AL1099" s="50">
        <f>IF(AN1099=21,J1099,0)</f>
        <v>0</v>
      </c>
      <c r="AN1099" s="50">
        <v>21</v>
      </c>
      <c r="AO1099" s="50">
        <f>G1099*1</f>
        <v>0</v>
      </c>
      <c r="AP1099" s="50">
        <f>G1099*(1-1)</f>
        <v>0</v>
      </c>
      <c r="AQ1099" s="52" t="s">
        <v>132</v>
      </c>
      <c r="AV1099" s="50">
        <f>ROUND(AW1099+AX1099,2)</f>
        <v>0</v>
      </c>
      <c r="AW1099" s="50">
        <f>ROUND(F1099*AO1099,2)</f>
        <v>0</v>
      </c>
      <c r="AX1099" s="50">
        <f>ROUND(F1099*AP1099,2)</f>
        <v>0</v>
      </c>
      <c r="AY1099" s="52" t="s">
        <v>1711</v>
      </c>
      <c r="AZ1099" s="52" t="s">
        <v>1535</v>
      </c>
      <c r="BA1099" s="32" t="s">
        <v>119</v>
      </c>
      <c r="BC1099" s="50">
        <f>AW1099+AX1099</f>
        <v>0</v>
      </c>
      <c r="BD1099" s="50">
        <f>G1099/(100-BE1099)*100</f>
        <v>0</v>
      </c>
      <c r="BE1099" s="50">
        <v>0</v>
      </c>
      <c r="BF1099" s="50">
        <f>1099</f>
        <v>1099</v>
      </c>
      <c r="BH1099" s="50">
        <f>F1099*AO1099</f>
        <v>0</v>
      </c>
      <c r="BI1099" s="50">
        <f>F1099*AP1099</f>
        <v>0</v>
      </c>
      <c r="BJ1099" s="50">
        <f>F1099*G1099</f>
        <v>0</v>
      </c>
      <c r="BK1099" s="50"/>
      <c r="BL1099" s="50"/>
      <c r="BW1099" s="50">
        <v>21</v>
      </c>
      <c r="BX1099" s="3" t="s">
        <v>1734</v>
      </c>
    </row>
    <row r="1100" spans="1:76" ht="14.4" x14ac:dyDescent="0.3">
      <c r="A1100" s="53"/>
      <c r="C1100" s="54" t="s">
        <v>140</v>
      </c>
      <c r="D1100" s="54" t="s">
        <v>4</v>
      </c>
      <c r="F1100" s="55">
        <v>4</v>
      </c>
      <c r="K1100" s="56"/>
    </row>
    <row r="1101" spans="1:76" ht="14.4" x14ac:dyDescent="0.3">
      <c r="A1101" s="1" t="s">
        <v>1735</v>
      </c>
      <c r="B1101" s="2" t="s">
        <v>1736</v>
      </c>
      <c r="C1101" s="75" t="s">
        <v>1737</v>
      </c>
      <c r="D1101" s="70"/>
      <c r="E1101" s="2" t="s">
        <v>278</v>
      </c>
      <c r="F1101" s="50">
        <v>1</v>
      </c>
      <c r="G1101" s="50">
        <v>0</v>
      </c>
      <c r="H1101" s="50">
        <f>ROUND(F1101*AO1101,2)</f>
        <v>0</v>
      </c>
      <c r="I1101" s="50">
        <f>ROUND(F1101*AP1101,2)</f>
        <v>0</v>
      </c>
      <c r="J1101" s="50">
        <f>ROUND(F1101*G1101,2)</f>
        <v>0</v>
      </c>
      <c r="K1101" s="51" t="s">
        <v>116</v>
      </c>
      <c r="Z1101" s="50">
        <f>ROUND(IF(AQ1101="5",BJ1101,0),2)</f>
        <v>0</v>
      </c>
      <c r="AB1101" s="50">
        <f>ROUND(IF(AQ1101="1",BH1101,0),2)</f>
        <v>0</v>
      </c>
      <c r="AC1101" s="50">
        <f>ROUND(IF(AQ1101="1",BI1101,0),2)</f>
        <v>0</v>
      </c>
      <c r="AD1101" s="50">
        <f>ROUND(IF(AQ1101="7",BH1101,0),2)</f>
        <v>0</v>
      </c>
      <c r="AE1101" s="50">
        <f>ROUND(IF(AQ1101="7",BI1101,0),2)</f>
        <v>0</v>
      </c>
      <c r="AF1101" s="50">
        <f>ROUND(IF(AQ1101="2",BH1101,0),2)</f>
        <v>0</v>
      </c>
      <c r="AG1101" s="50">
        <f>ROUND(IF(AQ1101="2",BI1101,0),2)</f>
        <v>0</v>
      </c>
      <c r="AH1101" s="50">
        <f>ROUND(IF(AQ1101="0",BJ1101,0),2)</f>
        <v>0</v>
      </c>
      <c r="AI1101" s="32" t="s">
        <v>4</v>
      </c>
      <c r="AJ1101" s="50">
        <f>IF(AN1101=0,J1101,0)</f>
        <v>0</v>
      </c>
      <c r="AK1101" s="50">
        <f>IF(AN1101=12,J1101,0)</f>
        <v>0</v>
      </c>
      <c r="AL1101" s="50">
        <f>IF(AN1101=21,J1101,0)</f>
        <v>0</v>
      </c>
      <c r="AN1101" s="50">
        <v>21</v>
      </c>
      <c r="AO1101" s="50">
        <f>G1101*0</f>
        <v>0</v>
      </c>
      <c r="AP1101" s="50">
        <f>G1101*(1-0)</f>
        <v>0</v>
      </c>
      <c r="AQ1101" s="52" t="s">
        <v>132</v>
      </c>
      <c r="AV1101" s="50">
        <f>ROUND(AW1101+AX1101,2)</f>
        <v>0</v>
      </c>
      <c r="AW1101" s="50">
        <f>ROUND(F1101*AO1101,2)</f>
        <v>0</v>
      </c>
      <c r="AX1101" s="50">
        <f>ROUND(F1101*AP1101,2)</f>
        <v>0</v>
      </c>
      <c r="AY1101" s="52" t="s">
        <v>1711</v>
      </c>
      <c r="AZ1101" s="52" t="s">
        <v>1535</v>
      </c>
      <c r="BA1101" s="32" t="s">
        <v>119</v>
      </c>
      <c r="BC1101" s="50">
        <f>AW1101+AX1101</f>
        <v>0</v>
      </c>
      <c r="BD1101" s="50">
        <f>G1101/(100-BE1101)*100</f>
        <v>0</v>
      </c>
      <c r="BE1101" s="50">
        <v>0</v>
      </c>
      <c r="BF1101" s="50">
        <f>1101</f>
        <v>1101</v>
      </c>
      <c r="BH1101" s="50">
        <f>F1101*AO1101</f>
        <v>0</v>
      </c>
      <c r="BI1101" s="50">
        <f>F1101*AP1101</f>
        <v>0</v>
      </c>
      <c r="BJ1101" s="50">
        <f>F1101*G1101</f>
        <v>0</v>
      </c>
      <c r="BK1101" s="50"/>
      <c r="BL1101" s="50"/>
      <c r="BW1101" s="50">
        <v>21</v>
      </c>
      <c r="BX1101" s="3" t="s">
        <v>1737</v>
      </c>
    </row>
    <row r="1102" spans="1:76" ht="14.4" x14ac:dyDescent="0.3">
      <c r="A1102" s="53"/>
      <c r="C1102" s="54" t="s">
        <v>112</v>
      </c>
      <c r="D1102" s="54" t="s">
        <v>4</v>
      </c>
      <c r="F1102" s="55">
        <v>1</v>
      </c>
      <c r="K1102" s="56"/>
    </row>
    <row r="1103" spans="1:76" ht="14.4" x14ac:dyDescent="0.3">
      <c r="A1103" s="1" t="s">
        <v>1738</v>
      </c>
      <c r="B1103" s="2" t="s">
        <v>1739</v>
      </c>
      <c r="C1103" s="75" t="s">
        <v>1740</v>
      </c>
      <c r="D1103" s="70"/>
      <c r="E1103" s="2" t="s">
        <v>278</v>
      </c>
      <c r="F1103" s="50">
        <v>1</v>
      </c>
      <c r="G1103" s="50">
        <v>0</v>
      </c>
      <c r="H1103" s="50">
        <f>ROUND(F1103*AO1103,2)</f>
        <v>0</v>
      </c>
      <c r="I1103" s="50">
        <f>ROUND(F1103*AP1103,2)</f>
        <v>0</v>
      </c>
      <c r="J1103" s="50">
        <f>ROUND(F1103*G1103,2)</f>
        <v>0</v>
      </c>
      <c r="K1103" s="51" t="s">
        <v>116</v>
      </c>
      <c r="Z1103" s="50">
        <f>ROUND(IF(AQ1103="5",BJ1103,0),2)</f>
        <v>0</v>
      </c>
      <c r="AB1103" s="50">
        <f>ROUND(IF(AQ1103="1",BH1103,0),2)</f>
        <v>0</v>
      </c>
      <c r="AC1103" s="50">
        <f>ROUND(IF(AQ1103="1",BI1103,0),2)</f>
        <v>0</v>
      </c>
      <c r="AD1103" s="50">
        <f>ROUND(IF(AQ1103="7",BH1103,0),2)</f>
        <v>0</v>
      </c>
      <c r="AE1103" s="50">
        <f>ROUND(IF(AQ1103="7",BI1103,0),2)</f>
        <v>0</v>
      </c>
      <c r="AF1103" s="50">
        <f>ROUND(IF(AQ1103="2",BH1103,0),2)</f>
        <v>0</v>
      </c>
      <c r="AG1103" s="50">
        <f>ROUND(IF(AQ1103="2",BI1103,0),2)</f>
        <v>0</v>
      </c>
      <c r="AH1103" s="50">
        <f>ROUND(IF(AQ1103="0",BJ1103,0),2)</f>
        <v>0</v>
      </c>
      <c r="AI1103" s="32" t="s">
        <v>4</v>
      </c>
      <c r="AJ1103" s="50">
        <f>IF(AN1103=0,J1103,0)</f>
        <v>0</v>
      </c>
      <c r="AK1103" s="50">
        <f>IF(AN1103=12,J1103,0)</f>
        <v>0</v>
      </c>
      <c r="AL1103" s="50">
        <f>IF(AN1103=21,J1103,0)</f>
        <v>0</v>
      </c>
      <c r="AN1103" s="50">
        <v>21</v>
      </c>
      <c r="AO1103" s="50">
        <f>G1103*1</f>
        <v>0</v>
      </c>
      <c r="AP1103" s="50">
        <f>G1103*(1-1)</f>
        <v>0</v>
      </c>
      <c r="AQ1103" s="52" t="s">
        <v>132</v>
      </c>
      <c r="AV1103" s="50">
        <f>ROUND(AW1103+AX1103,2)</f>
        <v>0</v>
      </c>
      <c r="AW1103" s="50">
        <f>ROUND(F1103*AO1103,2)</f>
        <v>0</v>
      </c>
      <c r="AX1103" s="50">
        <f>ROUND(F1103*AP1103,2)</f>
        <v>0</v>
      </c>
      <c r="AY1103" s="52" t="s">
        <v>1711</v>
      </c>
      <c r="AZ1103" s="52" t="s">
        <v>1535</v>
      </c>
      <c r="BA1103" s="32" t="s">
        <v>119</v>
      </c>
      <c r="BC1103" s="50">
        <f>AW1103+AX1103</f>
        <v>0</v>
      </c>
      <c r="BD1103" s="50">
        <f>G1103/(100-BE1103)*100</f>
        <v>0</v>
      </c>
      <c r="BE1103" s="50">
        <v>0</v>
      </c>
      <c r="BF1103" s="50">
        <f>1103</f>
        <v>1103</v>
      </c>
      <c r="BH1103" s="50">
        <f>F1103*AO1103</f>
        <v>0</v>
      </c>
      <c r="BI1103" s="50">
        <f>F1103*AP1103</f>
        <v>0</v>
      </c>
      <c r="BJ1103" s="50">
        <f>F1103*G1103</f>
        <v>0</v>
      </c>
      <c r="BK1103" s="50"/>
      <c r="BL1103" s="50"/>
      <c r="BW1103" s="50">
        <v>21</v>
      </c>
      <c r="BX1103" s="3" t="s">
        <v>1740</v>
      </c>
    </row>
    <row r="1104" spans="1:76" ht="14.4" x14ac:dyDescent="0.3">
      <c r="A1104" s="53"/>
      <c r="C1104" s="54" t="s">
        <v>112</v>
      </c>
      <c r="D1104" s="54" t="s">
        <v>4</v>
      </c>
      <c r="F1104" s="55">
        <v>1</v>
      </c>
      <c r="K1104" s="56"/>
    </row>
    <row r="1105" spans="1:76" ht="14.4" x14ac:dyDescent="0.3">
      <c r="A1105" s="1" t="s">
        <v>1741</v>
      </c>
      <c r="B1105" s="2" t="s">
        <v>1742</v>
      </c>
      <c r="C1105" s="75" t="s">
        <v>1743</v>
      </c>
      <c r="D1105" s="70"/>
      <c r="E1105" s="2" t="s">
        <v>278</v>
      </c>
      <c r="F1105" s="50">
        <v>2</v>
      </c>
      <c r="G1105" s="50">
        <v>0</v>
      </c>
      <c r="H1105" s="50">
        <f>ROUND(F1105*AO1105,2)</f>
        <v>0</v>
      </c>
      <c r="I1105" s="50">
        <f>ROUND(F1105*AP1105,2)</f>
        <v>0</v>
      </c>
      <c r="J1105" s="50">
        <f>ROUND(F1105*G1105,2)</f>
        <v>0</v>
      </c>
      <c r="K1105" s="51" t="s">
        <v>116</v>
      </c>
      <c r="Z1105" s="50">
        <f>ROUND(IF(AQ1105="5",BJ1105,0),2)</f>
        <v>0</v>
      </c>
      <c r="AB1105" s="50">
        <f>ROUND(IF(AQ1105="1",BH1105,0),2)</f>
        <v>0</v>
      </c>
      <c r="AC1105" s="50">
        <f>ROUND(IF(AQ1105="1",BI1105,0),2)</f>
        <v>0</v>
      </c>
      <c r="AD1105" s="50">
        <f>ROUND(IF(AQ1105="7",BH1105,0),2)</f>
        <v>0</v>
      </c>
      <c r="AE1105" s="50">
        <f>ROUND(IF(AQ1105="7",BI1105,0),2)</f>
        <v>0</v>
      </c>
      <c r="AF1105" s="50">
        <f>ROUND(IF(AQ1105="2",BH1105,0),2)</f>
        <v>0</v>
      </c>
      <c r="AG1105" s="50">
        <f>ROUND(IF(AQ1105="2",BI1105,0),2)</f>
        <v>0</v>
      </c>
      <c r="AH1105" s="50">
        <f>ROUND(IF(AQ1105="0",BJ1105,0),2)</f>
        <v>0</v>
      </c>
      <c r="AI1105" s="32" t="s">
        <v>4</v>
      </c>
      <c r="AJ1105" s="50">
        <f>IF(AN1105=0,J1105,0)</f>
        <v>0</v>
      </c>
      <c r="AK1105" s="50">
        <f>IF(AN1105=12,J1105,0)</f>
        <v>0</v>
      </c>
      <c r="AL1105" s="50">
        <f>IF(AN1105=21,J1105,0)</f>
        <v>0</v>
      </c>
      <c r="AN1105" s="50">
        <v>21</v>
      </c>
      <c r="AO1105" s="50">
        <f>G1105*0</f>
        <v>0</v>
      </c>
      <c r="AP1105" s="50">
        <f>G1105*(1-0)</f>
        <v>0</v>
      </c>
      <c r="AQ1105" s="52" t="s">
        <v>132</v>
      </c>
      <c r="AV1105" s="50">
        <f>ROUND(AW1105+AX1105,2)</f>
        <v>0</v>
      </c>
      <c r="AW1105" s="50">
        <f>ROUND(F1105*AO1105,2)</f>
        <v>0</v>
      </c>
      <c r="AX1105" s="50">
        <f>ROUND(F1105*AP1105,2)</f>
        <v>0</v>
      </c>
      <c r="AY1105" s="52" t="s">
        <v>1711</v>
      </c>
      <c r="AZ1105" s="52" t="s">
        <v>1535</v>
      </c>
      <c r="BA1105" s="32" t="s">
        <v>119</v>
      </c>
      <c r="BC1105" s="50">
        <f>AW1105+AX1105</f>
        <v>0</v>
      </c>
      <c r="BD1105" s="50">
        <f>G1105/(100-BE1105)*100</f>
        <v>0</v>
      </c>
      <c r="BE1105" s="50">
        <v>0</v>
      </c>
      <c r="BF1105" s="50">
        <f>1105</f>
        <v>1105</v>
      </c>
      <c r="BH1105" s="50">
        <f>F1105*AO1105</f>
        <v>0</v>
      </c>
      <c r="BI1105" s="50">
        <f>F1105*AP1105</f>
        <v>0</v>
      </c>
      <c r="BJ1105" s="50">
        <f>F1105*G1105</f>
        <v>0</v>
      </c>
      <c r="BK1105" s="50"/>
      <c r="BL1105" s="50"/>
      <c r="BW1105" s="50">
        <v>21</v>
      </c>
      <c r="BX1105" s="3" t="s">
        <v>1743</v>
      </c>
    </row>
    <row r="1106" spans="1:76" ht="14.4" x14ac:dyDescent="0.3">
      <c r="A1106" s="53"/>
      <c r="C1106" s="54" t="s">
        <v>132</v>
      </c>
      <c r="D1106" s="54" t="s">
        <v>4</v>
      </c>
      <c r="F1106" s="55">
        <v>2</v>
      </c>
      <c r="K1106" s="56"/>
    </row>
    <row r="1107" spans="1:76" ht="14.4" x14ac:dyDescent="0.3">
      <c r="A1107" s="1" t="s">
        <v>1744</v>
      </c>
      <c r="B1107" s="2" t="s">
        <v>1745</v>
      </c>
      <c r="C1107" s="75" t="s">
        <v>1746</v>
      </c>
      <c r="D1107" s="70"/>
      <c r="E1107" s="2" t="s">
        <v>278</v>
      </c>
      <c r="F1107" s="50">
        <v>2</v>
      </c>
      <c r="G1107" s="50">
        <v>0</v>
      </c>
      <c r="H1107" s="50">
        <f>ROUND(F1107*AO1107,2)</f>
        <v>0</v>
      </c>
      <c r="I1107" s="50">
        <f>ROUND(F1107*AP1107,2)</f>
        <v>0</v>
      </c>
      <c r="J1107" s="50">
        <f>ROUND(F1107*G1107,2)</f>
        <v>0</v>
      </c>
      <c r="K1107" s="51" t="s">
        <v>116</v>
      </c>
      <c r="Z1107" s="50">
        <f>ROUND(IF(AQ1107="5",BJ1107,0),2)</f>
        <v>0</v>
      </c>
      <c r="AB1107" s="50">
        <f>ROUND(IF(AQ1107="1",BH1107,0),2)</f>
        <v>0</v>
      </c>
      <c r="AC1107" s="50">
        <f>ROUND(IF(AQ1107="1",BI1107,0),2)</f>
        <v>0</v>
      </c>
      <c r="AD1107" s="50">
        <f>ROUND(IF(AQ1107="7",BH1107,0),2)</f>
        <v>0</v>
      </c>
      <c r="AE1107" s="50">
        <f>ROUND(IF(AQ1107="7",BI1107,0),2)</f>
        <v>0</v>
      </c>
      <c r="AF1107" s="50">
        <f>ROUND(IF(AQ1107="2",BH1107,0),2)</f>
        <v>0</v>
      </c>
      <c r="AG1107" s="50">
        <f>ROUND(IF(AQ1107="2",BI1107,0),2)</f>
        <v>0</v>
      </c>
      <c r="AH1107" s="50">
        <f>ROUND(IF(AQ1107="0",BJ1107,0),2)</f>
        <v>0</v>
      </c>
      <c r="AI1107" s="32" t="s">
        <v>4</v>
      </c>
      <c r="AJ1107" s="50">
        <f>IF(AN1107=0,J1107,0)</f>
        <v>0</v>
      </c>
      <c r="AK1107" s="50">
        <f>IF(AN1107=12,J1107,0)</f>
        <v>0</v>
      </c>
      <c r="AL1107" s="50">
        <f>IF(AN1107=21,J1107,0)</f>
        <v>0</v>
      </c>
      <c r="AN1107" s="50">
        <v>21</v>
      </c>
      <c r="AO1107" s="50">
        <f>G1107*1</f>
        <v>0</v>
      </c>
      <c r="AP1107" s="50">
        <f>G1107*(1-1)</f>
        <v>0</v>
      </c>
      <c r="AQ1107" s="52" t="s">
        <v>132</v>
      </c>
      <c r="AV1107" s="50">
        <f>ROUND(AW1107+AX1107,2)</f>
        <v>0</v>
      </c>
      <c r="AW1107" s="50">
        <f>ROUND(F1107*AO1107,2)</f>
        <v>0</v>
      </c>
      <c r="AX1107" s="50">
        <f>ROUND(F1107*AP1107,2)</f>
        <v>0</v>
      </c>
      <c r="AY1107" s="52" t="s">
        <v>1711</v>
      </c>
      <c r="AZ1107" s="52" t="s">
        <v>1535</v>
      </c>
      <c r="BA1107" s="32" t="s">
        <v>119</v>
      </c>
      <c r="BC1107" s="50">
        <f>AW1107+AX1107</f>
        <v>0</v>
      </c>
      <c r="BD1107" s="50">
        <f>G1107/(100-BE1107)*100</f>
        <v>0</v>
      </c>
      <c r="BE1107" s="50">
        <v>0</v>
      </c>
      <c r="BF1107" s="50">
        <f>1107</f>
        <v>1107</v>
      </c>
      <c r="BH1107" s="50">
        <f>F1107*AO1107</f>
        <v>0</v>
      </c>
      <c r="BI1107" s="50">
        <f>F1107*AP1107</f>
        <v>0</v>
      </c>
      <c r="BJ1107" s="50">
        <f>F1107*G1107</f>
        <v>0</v>
      </c>
      <c r="BK1107" s="50"/>
      <c r="BL1107" s="50"/>
      <c r="BW1107" s="50">
        <v>21</v>
      </c>
      <c r="BX1107" s="3" t="s">
        <v>1746</v>
      </c>
    </row>
    <row r="1108" spans="1:76" ht="14.4" x14ac:dyDescent="0.3">
      <c r="A1108" s="53"/>
      <c r="C1108" s="54" t="s">
        <v>132</v>
      </c>
      <c r="D1108" s="54" t="s">
        <v>4</v>
      </c>
      <c r="F1108" s="55">
        <v>2</v>
      </c>
      <c r="K1108" s="56"/>
    </row>
    <row r="1109" spans="1:76" ht="14.4" x14ac:dyDescent="0.3">
      <c r="A1109" s="1" t="s">
        <v>1747</v>
      </c>
      <c r="B1109" s="2" t="s">
        <v>1748</v>
      </c>
      <c r="C1109" s="75" t="s">
        <v>1749</v>
      </c>
      <c r="D1109" s="70"/>
      <c r="E1109" s="2" t="s">
        <v>278</v>
      </c>
      <c r="F1109" s="50">
        <v>39</v>
      </c>
      <c r="G1109" s="50">
        <v>0</v>
      </c>
      <c r="H1109" s="50">
        <f>ROUND(F1109*AO1109,2)</f>
        <v>0</v>
      </c>
      <c r="I1109" s="50">
        <f>ROUND(F1109*AP1109,2)</f>
        <v>0</v>
      </c>
      <c r="J1109" s="50">
        <f>ROUND(F1109*G1109,2)</f>
        <v>0</v>
      </c>
      <c r="K1109" s="51" t="s">
        <v>116</v>
      </c>
      <c r="Z1109" s="50">
        <f>ROUND(IF(AQ1109="5",BJ1109,0),2)</f>
        <v>0</v>
      </c>
      <c r="AB1109" s="50">
        <f>ROUND(IF(AQ1109="1",BH1109,0),2)</f>
        <v>0</v>
      </c>
      <c r="AC1109" s="50">
        <f>ROUND(IF(AQ1109="1",BI1109,0),2)</f>
        <v>0</v>
      </c>
      <c r="AD1109" s="50">
        <f>ROUND(IF(AQ1109="7",BH1109,0),2)</f>
        <v>0</v>
      </c>
      <c r="AE1109" s="50">
        <f>ROUND(IF(AQ1109="7",BI1109,0),2)</f>
        <v>0</v>
      </c>
      <c r="AF1109" s="50">
        <f>ROUND(IF(AQ1109="2",BH1109,0),2)</f>
        <v>0</v>
      </c>
      <c r="AG1109" s="50">
        <f>ROUND(IF(AQ1109="2",BI1109,0),2)</f>
        <v>0</v>
      </c>
      <c r="AH1109" s="50">
        <f>ROUND(IF(AQ1109="0",BJ1109,0),2)</f>
        <v>0</v>
      </c>
      <c r="AI1109" s="32" t="s">
        <v>4</v>
      </c>
      <c r="AJ1109" s="50">
        <f>IF(AN1109=0,J1109,0)</f>
        <v>0</v>
      </c>
      <c r="AK1109" s="50">
        <f>IF(AN1109=12,J1109,0)</f>
        <v>0</v>
      </c>
      <c r="AL1109" s="50">
        <f>IF(AN1109=21,J1109,0)</f>
        <v>0</v>
      </c>
      <c r="AN1109" s="50">
        <v>21</v>
      </c>
      <c r="AO1109" s="50">
        <f>G1109*0</f>
        <v>0</v>
      </c>
      <c r="AP1109" s="50">
        <f>G1109*(1-0)</f>
        <v>0</v>
      </c>
      <c r="AQ1109" s="52" t="s">
        <v>132</v>
      </c>
      <c r="AV1109" s="50">
        <f>ROUND(AW1109+AX1109,2)</f>
        <v>0</v>
      </c>
      <c r="AW1109" s="50">
        <f>ROUND(F1109*AO1109,2)</f>
        <v>0</v>
      </c>
      <c r="AX1109" s="50">
        <f>ROUND(F1109*AP1109,2)</f>
        <v>0</v>
      </c>
      <c r="AY1109" s="52" t="s">
        <v>1711</v>
      </c>
      <c r="AZ1109" s="52" t="s">
        <v>1535</v>
      </c>
      <c r="BA1109" s="32" t="s">
        <v>119</v>
      </c>
      <c r="BC1109" s="50">
        <f>AW1109+AX1109</f>
        <v>0</v>
      </c>
      <c r="BD1109" s="50">
        <f>G1109/(100-BE1109)*100</f>
        <v>0</v>
      </c>
      <c r="BE1109" s="50">
        <v>0</v>
      </c>
      <c r="BF1109" s="50">
        <f>1109</f>
        <v>1109</v>
      </c>
      <c r="BH1109" s="50">
        <f>F1109*AO1109</f>
        <v>0</v>
      </c>
      <c r="BI1109" s="50">
        <f>F1109*AP1109</f>
        <v>0</v>
      </c>
      <c r="BJ1109" s="50">
        <f>F1109*G1109</f>
        <v>0</v>
      </c>
      <c r="BK1109" s="50"/>
      <c r="BL1109" s="50"/>
      <c r="BW1109" s="50">
        <v>21</v>
      </c>
      <c r="BX1109" s="3" t="s">
        <v>1749</v>
      </c>
    </row>
    <row r="1110" spans="1:76" ht="14.4" x14ac:dyDescent="0.3">
      <c r="A1110" s="53"/>
      <c r="C1110" s="54" t="s">
        <v>317</v>
      </c>
      <c r="D1110" s="54" t="s">
        <v>4</v>
      </c>
      <c r="F1110" s="55">
        <v>39</v>
      </c>
      <c r="K1110" s="56"/>
    </row>
    <row r="1111" spans="1:76" ht="14.4" x14ac:dyDescent="0.3">
      <c r="A1111" s="1" t="s">
        <v>1750</v>
      </c>
      <c r="B1111" s="2" t="s">
        <v>1751</v>
      </c>
      <c r="C1111" s="75" t="s">
        <v>1752</v>
      </c>
      <c r="D1111" s="70"/>
      <c r="E1111" s="2" t="s">
        <v>278</v>
      </c>
      <c r="F1111" s="50">
        <v>39</v>
      </c>
      <c r="G1111" s="50">
        <v>0</v>
      </c>
      <c r="H1111" s="50">
        <f>ROUND(F1111*AO1111,2)</f>
        <v>0</v>
      </c>
      <c r="I1111" s="50">
        <f>ROUND(F1111*AP1111,2)</f>
        <v>0</v>
      </c>
      <c r="J1111" s="50">
        <f>ROUND(F1111*G1111,2)</f>
        <v>0</v>
      </c>
      <c r="K1111" s="51" t="s">
        <v>116</v>
      </c>
      <c r="Z1111" s="50">
        <f>ROUND(IF(AQ1111="5",BJ1111,0),2)</f>
        <v>0</v>
      </c>
      <c r="AB1111" s="50">
        <f>ROUND(IF(AQ1111="1",BH1111,0),2)</f>
        <v>0</v>
      </c>
      <c r="AC1111" s="50">
        <f>ROUND(IF(AQ1111="1",BI1111,0),2)</f>
        <v>0</v>
      </c>
      <c r="AD1111" s="50">
        <f>ROUND(IF(AQ1111="7",BH1111,0),2)</f>
        <v>0</v>
      </c>
      <c r="AE1111" s="50">
        <f>ROUND(IF(AQ1111="7",BI1111,0),2)</f>
        <v>0</v>
      </c>
      <c r="AF1111" s="50">
        <f>ROUND(IF(AQ1111="2",BH1111,0),2)</f>
        <v>0</v>
      </c>
      <c r="AG1111" s="50">
        <f>ROUND(IF(AQ1111="2",BI1111,0),2)</f>
        <v>0</v>
      </c>
      <c r="AH1111" s="50">
        <f>ROUND(IF(AQ1111="0",BJ1111,0),2)</f>
        <v>0</v>
      </c>
      <c r="AI1111" s="32" t="s">
        <v>4</v>
      </c>
      <c r="AJ1111" s="50">
        <f>IF(AN1111=0,J1111,0)</f>
        <v>0</v>
      </c>
      <c r="AK1111" s="50">
        <f>IF(AN1111=12,J1111,0)</f>
        <v>0</v>
      </c>
      <c r="AL1111" s="50">
        <f>IF(AN1111=21,J1111,0)</f>
        <v>0</v>
      </c>
      <c r="AN1111" s="50">
        <v>21</v>
      </c>
      <c r="AO1111" s="50">
        <f>G1111*1</f>
        <v>0</v>
      </c>
      <c r="AP1111" s="50">
        <f>G1111*(1-1)</f>
        <v>0</v>
      </c>
      <c r="AQ1111" s="52" t="s">
        <v>132</v>
      </c>
      <c r="AV1111" s="50">
        <f>ROUND(AW1111+AX1111,2)</f>
        <v>0</v>
      </c>
      <c r="AW1111" s="50">
        <f>ROUND(F1111*AO1111,2)</f>
        <v>0</v>
      </c>
      <c r="AX1111" s="50">
        <f>ROUND(F1111*AP1111,2)</f>
        <v>0</v>
      </c>
      <c r="AY1111" s="52" t="s">
        <v>1711</v>
      </c>
      <c r="AZ1111" s="52" t="s">
        <v>1535</v>
      </c>
      <c r="BA1111" s="32" t="s">
        <v>119</v>
      </c>
      <c r="BC1111" s="50">
        <f>AW1111+AX1111</f>
        <v>0</v>
      </c>
      <c r="BD1111" s="50">
        <f>G1111/(100-BE1111)*100</f>
        <v>0</v>
      </c>
      <c r="BE1111" s="50">
        <v>0</v>
      </c>
      <c r="BF1111" s="50">
        <f>1111</f>
        <v>1111</v>
      </c>
      <c r="BH1111" s="50">
        <f>F1111*AO1111</f>
        <v>0</v>
      </c>
      <c r="BI1111" s="50">
        <f>F1111*AP1111</f>
        <v>0</v>
      </c>
      <c r="BJ1111" s="50">
        <f>F1111*G1111</f>
        <v>0</v>
      </c>
      <c r="BK1111" s="50"/>
      <c r="BL1111" s="50"/>
      <c r="BW1111" s="50">
        <v>21</v>
      </c>
      <c r="BX1111" s="3" t="s">
        <v>1752</v>
      </c>
    </row>
    <row r="1112" spans="1:76" ht="14.4" x14ac:dyDescent="0.3">
      <c r="A1112" s="53"/>
      <c r="C1112" s="54" t="s">
        <v>317</v>
      </c>
      <c r="D1112" s="54" t="s">
        <v>4</v>
      </c>
      <c r="F1112" s="55">
        <v>39</v>
      </c>
      <c r="K1112" s="56"/>
    </row>
    <row r="1113" spans="1:76" ht="14.4" x14ac:dyDescent="0.3">
      <c r="A1113" s="1" t="s">
        <v>1753</v>
      </c>
      <c r="B1113" s="2" t="s">
        <v>1754</v>
      </c>
      <c r="C1113" s="75" t="s">
        <v>1755</v>
      </c>
      <c r="D1113" s="70"/>
      <c r="E1113" s="2" t="s">
        <v>278</v>
      </c>
      <c r="F1113" s="50">
        <v>3</v>
      </c>
      <c r="G1113" s="50">
        <v>0</v>
      </c>
      <c r="H1113" s="50">
        <f>ROUND(F1113*AO1113,2)</f>
        <v>0</v>
      </c>
      <c r="I1113" s="50">
        <f>ROUND(F1113*AP1113,2)</f>
        <v>0</v>
      </c>
      <c r="J1113" s="50">
        <f>ROUND(F1113*G1113,2)</f>
        <v>0</v>
      </c>
      <c r="K1113" s="51" t="s">
        <v>116</v>
      </c>
      <c r="Z1113" s="50">
        <f>ROUND(IF(AQ1113="5",BJ1113,0),2)</f>
        <v>0</v>
      </c>
      <c r="AB1113" s="50">
        <f>ROUND(IF(AQ1113="1",BH1113,0),2)</f>
        <v>0</v>
      </c>
      <c r="AC1113" s="50">
        <f>ROUND(IF(AQ1113="1",BI1113,0),2)</f>
        <v>0</v>
      </c>
      <c r="AD1113" s="50">
        <f>ROUND(IF(AQ1113="7",BH1113,0),2)</f>
        <v>0</v>
      </c>
      <c r="AE1113" s="50">
        <f>ROUND(IF(AQ1113="7",BI1113,0),2)</f>
        <v>0</v>
      </c>
      <c r="AF1113" s="50">
        <f>ROUND(IF(AQ1113="2",BH1113,0),2)</f>
        <v>0</v>
      </c>
      <c r="AG1113" s="50">
        <f>ROUND(IF(AQ1113="2",BI1113,0),2)</f>
        <v>0</v>
      </c>
      <c r="AH1113" s="50">
        <f>ROUND(IF(AQ1113="0",BJ1113,0),2)</f>
        <v>0</v>
      </c>
      <c r="AI1113" s="32" t="s">
        <v>4</v>
      </c>
      <c r="AJ1113" s="50">
        <f>IF(AN1113=0,J1113,0)</f>
        <v>0</v>
      </c>
      <c r="AK1113" s="50">
        <f>IF(AN1113=12,J1113,0)</f>
        <v>0</v>
      </c>
      <c r="AL1113" s="50">
        <f>IF(AN1113=21,J1113,0)</f>
        <v>0</v>
      </c>
      <c r="AN1113" s="50">
        <v>21</v>
      </c>
      <c r="AO1113" s="50">
        <f>G1113*0</f>
        <v>0</v>
      </c>
      <c r="AP1113" s="50">
        <f>G1113*(1-0)</f>
        <v>0</v>
      </c>
      <c r="AQ1113" s="52" t="s">
        <v>132</v>
      </c>
      <c r="AV1113" s="50">
        <f>ROUND(AW1113+AX1113,2)</f>
        <v>0</v>
      </c>
      <c r="AW1113" s="50">
        <f>ROUND(F1113*AO1113,2)</f>
        <v>0</v>
      </c>
      <c r="AX1113" s="50">
        <f>ROUND(F1113*AP1113,2)</f>
        <v>0</v>
      </c>
      <c r="AY1113" s="52" t="s">
        <v>1711</v>
      </c>
      <c r="AZ1113" s="52" t="s">
        <v>1535</v>
      </c>
      <c r="BA1113" s="32" t="s">
        <v>119</v>
      </c>
      <c r="BC1113" s="50">
        <f>AW1113+AX1113</f>
        <v>0</v>
      </c>
      <c r="BD1113" s="50">
        <f>G1113/(100-BE1113)*100</f>
        <v>0</v>
      </c>
      <c r="BE1113" s="50">
        <v>0</v>
      </c>
      <c r="BF1113" s="50">
        <f>1113</f>
        <v>1113</v>
      </c>
      <c r="BH1113" s="50">
        <f>F1113*AO1113</f>
        <v>0</v>
      </c>
      <c r="BI1113" s="50">
        <f>F1113*AP1113</f>
        <v>0</v>
      </c>
      <c r="BJ1113" s="50">
        <f>F1113*G1113</f>
        <v>0</v>
      </c>
      <c r="BK1113" s="50"/>
      <c r="BL1113" s="50"/>
      <c r="BW1113" s="50">
        <v>21</v>
      </c>
      <c r="BX1113" s="3" t="s">
        <v>1755</v>
      </c>
    </row>
    <row r="1114" spans="1:76" ht="14.4" x14ac:dyDescent="0.3">
      <c r="A1114" s="53"/>
      <c r="C1114" s="54" t="s">
        <v>135</v>
      </c>
      <c r="D1114" s="54" t="s">
        <v>4</v>
      </c>
      <c r="F1114" s="55">
        <v>3</v>
      </c>
      <c r="K1114" s="56"/>
    </row>
    <row r="1115" spans="1:76" ht="14.4" x14ac:dyDescent="0.3">
      <c r="A1115" s="1" t="s">
        <v>1756</v>
      </c>
      <c r="B1115" s="2" t="s">
        <v>1757</v>
      </c>
      <c r="C1115" s="75" t="s">
        <v>1758</v>
      </c>
      <c r="D1115" s="70"/>
      <c r="E1115" s="2" t="s">
        <v>278</v>
      </c>
      <c r="F1115" s="50">
        <v>3</v>
      </c>
      <c r="G1115" s="50">
        <v>0</v>
      </c>
      <c r="H1115" s="50">
        <f>ROUND(F1115*AO1115,2)</f>
        <v>0</v>
      </c>
      <c r="I1115" s="50">
        <f>ROUND(F1115*AP1115,2)</f>
        <v>0</v>
      </c>
      <c r="J1115" s="50">
        <f>ROUND(F1115*G1115,2)</f>
        <v>0</v>
      </c>
      <c r="K1115" s="51" t="s">
        <v>116</v>
      </c>
      <c r="Z1115" s="50">
        <f>ROUND(IF(AQ1115="5",BJ1115,0),2)</f>
        <v>0</v>
      </c>
      <c r="AB1115" s="50">
        <f>ROUND(IF(AQ1115="1",BH1115,0),2)</f>
        <v>0</v>
      </c>
      <c r="AC1115" s="50">
        <f>ROUND(IF(AQ1115="1",BI1115,0),2)</f>
        <v>0</v>
      </c>
      <c r="AD1115" s="50">
        <f>ROUND(IF(AQ1115="7",BH1115,0),2)</f>
        <v>0</v>
      </c>
      <c r="AE1115" s="50">
        <f>ROUND(IF(AQ1115="7",BI1115,0),2)</f>
        <v>0</v>
      </c>
      <c r="AF1115" s="50">
        <f>ROUND(IF(AQ1115="2",BH1115,0),2)</f>
        <v>0</v>
      </c>
      <c r="AG1115" s="50">
        <f>ROUND(IF(AQ1115="2",BI1115,0),2)</f>
        <v>0</v>
      </c>
      <c r="AH1115" s="50">
        <f>ROUND(IF(AQ1115="0",BJ1115,0),2)</f>
        <v>0</v>
      </c>
      <c r="AI1115" s="32" t="s">
        <v>4</v>
      </c>
      <c r="AJ1115" s="50">
        <f>IF(AN1115=0,J1115,0)</f>
        <v>0</v>
      </c>
      <c r="AK1115" s="50">
        <f>IF(AN1115=12,J1115,0)</f>
        <v>0</v>
      </c>
      <c r="AL1115" s="50">
        <f>IF(AN1115=21,J1115,0)</f>
        <v>0</v>
      </c>
      <c r="AN1115" s="50">
        <v>21</v>
      </c>
      <c r="AO1115" s="50">
        <f>G1115*1</f>
        <v>0</v>
      </c>
      <c r="AP1115" s="50">
        <f>G1115*(1-1)</f>
        <v>0</v>
      </c>
      <c r="AQ1115" s="52" t="s">
        <v>132</v>
      </c>
      <c r="AV1115" s="50">
        <f>ROUND(AW1115+AX1115,2)</f>
        <v>0</v>
      </c>
      <c r="AW1115" s="50">
        <f>ROUND(F1115*AO1115,2)</f>
        <v>0</v>
      </c>
      <c r="AX1115" s="50">
        <f>ROUND(F1115*AP1115,2)</f>
        <v>0</v>
      </c>
      <c r="AY1115" s="52" t="s">
        <v>1711</v>
      </c>
      <c r="AZ1115" s="52" t="s">
        <v>1535</v>
      </c>
      <c r="BA1115" s="32" t="s">
        <v>119</v>
      </c>
      <c r="BC1115" s="50">
        <f>AW1115+AX1115</f>
        <v>0</v>
      </c>
      <c r="BD1115" s="50">
        <f>G1115/(100-BE1115)*100</f>
        <v>0</v>
      </c>
      <c r="BE1115" s="50">
        <v>0</v>
      </c>
      <c r="BF1115" s="50">
        <f>1115</f>
        <v>1115</v>
      </c>
      <c r="BH1115" s="50">
        <f>F1115*AO1115</f>
        <v>0</v>
      </c>
      <c r="BI1115" s="50">
        <f>F1115*AP1115</f>
        <v>0</v>
      </c>
      <c r="BJ1115" s="50">
        <f>F1115*G1115</f>
        <v>0</v>
      </c>
      <c r="BK1115" s="50"/>
      <c r="BL1115" s="50"/>
      <c r="BW1115" s="50">
        <v>21</v>
      </c>
      <c r="BX1115" s="3" t="s">
        <v>1758</v>
      </c>
    </row>
    <row r="1116" spans="1:76" ht="14.4" x14ac:dyDescent="0.3">
      <c r="A1116" s="53"/>
      <c r="C1116" s="54" t="s">
        <v>135</v>
      </c>
      <c r="D1116" s="54" t="s">
        <v>4</v>
      </c>
      <c r="F1116" s="55">
        <v>3</v>
      </c>
      <c r="K1116" s="56"/>
    </row>
    <row r="1117" spans="1:76" ht="14.4" x14ac:dyDescent="0.3">
      <c r="A1117" s="1" t="s">
        <v>1759</v>
      </c>
      <c r="B1117" s="2" t="s">
        <v>1760</v>
      </c>
      <c r="C1117" s="75" t="s">
        <v>1761</v>
      </c>
      <c r="D1117" s="70"/>
      <c r="E1117" s="2" t="s">
        <v>233</v>
      </c>
      <c r="F1117" s="50">
        <v>680</v>
      </c>
      <c r="G1117" s="50">
        <v>0</v>
      </c>
      <c r="H1117" s="50">
        <f>ROUND(F1117*AO1117,2)</f>
        <v>0</v>
      </c>
      <c r="I1117" s="50">
        <f>ROUND(F1117*AP1117,2)</f>
        <v>0</v>
      </c>
      <c r="J1117" s="50">
        <f>ROUND(F1117*G1117,2)</f>
        <v>0</v>
      </c>
      <c r="K1117" s="51" t="s">
        <v>116</v>
      </c>
      <c r="Z1117" s="50">
        <f>ROUND(IF(AQ1117="5",BJ1117,0),2)</f>
        <v>0</v>
      </c>
      <c r="AB1117" s="50">
        <f>ROUND(IF(AQ1117="1",BH1117,0),2)</f>
        <v>0</v>
      </c>
      <c r="AC1117" s="50">
        <f>ROUND(IF(AQ1117="1",BI1117,0),2)</f>
        <v>0</v>
      </c>
      <c r="AD1117" s="50">
        <f>ROUND(IF(AQ1117="7",BH1117,0),2)</f>
        <v>0</v>
      </c>
      <c r="AE1117" s="50">
        <f>ROUND(IF(AQ1117="7",BI1117,0),2)</f>
        <v>0</v>
      </c>
      <c r="AF1117" s="50">
        <f>ROUND(IF(AQ1117="2",BH1117,0),2)</f>
        <v>0</v>
      </c>
      <c r="AG1117" s="50">
        <f>ROUND(IF(AQ1117="2",BI1117,0),2)</f>
        <v>0</v>
      </c>
      <c r="AH1117" s="50">
        <f>ROUND(IF(AQ1117="0",BJ1117,0),2)</f>
        <v>0</v>
      </c>
      <c r="AI1117" s="32" t="s">
        <v>4</v>
      </c>
      <c r="AJ1117" s="50">
        <f>IF(AN1117=0,J1117,0)</f>
        <v>0</v>
      </c>
      <c r="AK1117" s="50">
        <f>IF(AN1117=12,J1117,0)</f>
        <v>0</v>
      </c>
      <c r="AL1117" s="50">
        <f>IF(AN1117=21,J1117,0)</f>
        <v>0</v>
      </c>
      <c r="AN1117" s="50">
        <v>21</v>
      </c>
      <c r="AO1117" s="50">
        <f>G1117*0.437684833</f>
        <v>0</v>
      </c>
      <c r="AP1117" s="50">
        <f>G1117*(1-0.437684833)</f>
        <v>0</v>
      </c>
      <c r="AQ1117" s="52" t="s">
        <v>132</v>
      </c>
      <c r="AV1117" s="50">
        <f>ROUND(AW1117+AX1117,2)</f>
        <v>0</v>
      </c>
      <c r="AW1117" s="50">
        <f>ROUND(F1117*AO1117,2)</f>
        <v>0</v>
      </c>
      <c r="AX1117" s="50">
        <f>ROUND(F1117*AP1117,2)</f>
        <v>0</v>
      </c>
      <c r="AY1117" s="52" t="s">
        <v>1711</v>
      </c>
      <c r="AZ1117" s="52" t="s">
        <v>1535</v>
      </c>
      <c r="BA1117" s="32" t="s">
        <v>119</v>
      </c>
      <c r="BC1117" s="50">
        <f>AW1117+AX1117</f>
        <v>0</v>
      </c>
      <c r="BD1117" s="50">
        <f>G1117/(100-BE1117)*100</f>
        <v>0</v>
      </c>
      <c r="BE1117" s="50">
        <v>0</v>
      </c>
      <c r="BF1117" s="50">
        <f>1117</f>
        <v>1117</v>
      </c>
      <c r="BH1117" s="50">
        <f>F1117*AO1117</f>
        <v>0</v>
      </c>
      <c r="BI1117" s="50">
        <f>F1117*AP1117</f>
        <v>0</v>
      </c>
      <c r="BJ1117" s="50">
        <f>F1117*G1117</f>
        <v>0</v>
      </c>
      <c r="BK1117" s="50"/>
      <c r="BL1117" s="50"/>
      <c r="BW1117" s="50">
        <v>21</v>
      </c>
      <c r="BX1117" s="3" t="s">
        <v>1761</v>
      </c>
    </row>
    <row r="1118" spans="1:76" ht="13.5" customHeight="1" x14ac:dyDescent="0.3">
      <c r="A1118" s="53"/>
      <c r="B1118" s="57" t="s">
        <v>198</v>
      </c>
      <c r="C1118" s="150" t="s">
        <v>1762</v>
      </c>
      <c r="D1118" s="151"/>
      <c r="E1118" s="151"/>
      <c r="F1118" s="151"/>
      <c r="G1118" s="151"/>
      <c r="H1118" s="151"/>
      <c r="I1118" s="151"/>
      <c r="J1118" s="151"/>
      <c r="K1118" s="152"/>
    </row>
    <row r="1119" spans="1:76" ht="14.4" x14ac:dyDescent="0.3">
      <c r="A1119" s="53"/>
      <c r="C1119" s="54" t="s">
        <v>1763</v>
      </c>
      <c r="D1119" s="54" t="s">
        <v>4</v>
      </c>
      <c r="F1119" s="55">
        <v>680</v>
      </c>
      <c r="K1119" s="56"/>
    </row>
    <row r="1120" spans="1:76" ht="14.4" x14ac:dyDescent="0.3">
      <c r="A1120" s="1" t="s">
        <v>1764</v>
      </c>
      <c r="B1120" s="2" t="s">
        <v>1765</v>
      </c>
      <c r="C1120" s="75" t="s">
        <v>1766</v>
      </c>
      <c r="D1120" s="70"/>
      <c r="E1120" s="2" t="s">
        <v>233</v>
      </c>
      <c r="F1120" s="50">
        <v>740</v>
      </c>
      <c r="G1120" s="50">
        <v>0</v>
      </c>
      <c r="H1120" s="50">
        <f>ROUND(F1120*AO1120,2)</f>
        <v>0</v>
      </c>
      <c r="I1120" s="50">
        <f>ROUND(F1120*AP1120,2)</f>
        <v>0</v>
      </c>
      <c r="J1120" s="50">
        <f>ROUND(F1120*G1120,2)</f>
        <v>0</v>
      </c>
      <c r="K1120" s="51" t="s">
        <v>116</v>
      </c>
      <c r="Z1120" s="50">
        <f>ROUND(IF(AQ1120="5",BJ1120,0),2)</f>
        <v>0</v>
      </c>
      <c r="AB1120" s="50">
        <f>ROUND(IF(AQ1120="1",BH1120,0),2)</f>
        <v>0</v>
      </c>
      <c r="AC1120" s="50">
        <f>ROUND(IF(AQ1120="1",BI1120,0),2)</f>
        <v>0</v>
      </c>
      <c r="AD1120" s="50">
        <f>ROUND(IF(AQ1120="7",BH1120,0),2)</f>
        <v>0</v>
      </c>
      <c r="AE1120" s="50">
        <f>ROUND(IF(AQ1120="7",BI1120,0),2)</f>
        <v>0</v>
      </c>
      <c r="AF1120" s="50">
        <f>ROUND(IF(AQ1120="2",BH1120,0),2)</f>
        <v>0</v>
      </c>
      <c r="AG1120" s="50">
        <f>ROUND(IF(AQ1120="2",BI1120,0),2)</f>
        <v>0</v>
      </c>
      <c r="AH1120" s="50">
        <f>ROUND(IF(AQ1120="0",BJ1120,0),2)</f>
        <v>0</v>
      </c>
      <c r="AI1120" s="32" t="s">
        <v>4</v>
      </c>
      <c r="AJ1120" s="50">
        <f>IF(AN1120=0,J1120,0)</f>
        <v>0</v>
      </c>
      <c r="AK1120" s="50">
        <f>IF(AN1120=12,J1120,0)</f>
        <v>0</v>
      </c>
      <c r="AL1120" s="50">
        <f>IF(AN1120=21,J1120,0)</f>
        <v>0</v>
      </c>
      <c r="AN1120" s="50">
        <v>21</v>
      </c>
      <c r="AO1120" s="50">
        <f>G1120*0.32652027</f>
        <v>0</v>
      </c>
      <c r="AP1120" s="50">
        <f>G1120*(1-0.32652027)</f>
        <v>0</v>
      </c>
      <c r="AQ1120" s="52" t="s">
        <v>132</v>
      </c>
      <c r="AV1120" s="50">
        <f>ROUND(AW1120+AX1120,2)</f>
        <v>0</v>
      </c>
      <c r="AW1120" s="50">
        <f>ROUND(F1120*AO1120,2)</f>
        <v>0</v>
      </c>
      <c r="AX1120" s="50">
        <f>ROUND(F1120*AP1120,2)</f>
        <v>0</v>
      </c>
      <c r="AY1120" s="52" t="s">
        <v>1711</v>
      </c>
      <c r="AZ1120" s="52" t="s">
        <v>1535</v>
      </c>
      <c r="BA1120" s="32" t="s">
        <v>119</v>
      </c>
      <c r="BC1120" s="50">
        <f>AW1120+AX1120</f>
        <v>0</v>
      </c>
      <c r="BD1120" s="50">
        <f>G1120/(100-BE1120)*100</f>
        <v>0</v>
      </c>
      <c r="BE1120" s="50">
        <v>0</v>
      </c>
      <c r="BF1120" s="50">
        <f>1120</f>
        <v>1120</v>
      </c>
      <c r="BH1120" s="50">
        <f>F1120*AO1120</f>
        <v>0</v>
      </c>
      <c r="BI1120" s="50">
        <f>F1120*AP1120</f>
        <v>0</v>
      </c>
      <c r="BJ1120" s="50">
        <f>F1120*G1120</f>
        <v>0</v>
      </c>
      <c r="BK1120" s="50"/>
      <c r="BL1120" s="50"/>
      <c r="BW1120" s="50">
        <v>21</v>
      </c>
      <c r="BX1120" s="3" t="s">
        <v>1766</v>
      </c>
    </row>
    <row r="1121" spans="1:76" ht="13.5" customHeight="1" x14ac:dyDescent="0.3">
      <c r="A1121" s="53"/>
      <c r="B1121" s="57" t="s">
        <v>198</v>
      </c>
      <c r="C1121" s="150" t="s">
        <v>1767</v>
      </c>
      <c r="D1121" s="151"/>
      <c r="E1121" s="151"/>
      <c r="F1121" s="151"/>
      <c r="G1121" s="151"/>
      <c r="H1121" s="151"/>
      <c r="I1121" s="151"/>
      <c r="J1121" s="151"/>
      <c r="K1121" s="152"/>
    </row>
    <row r="1122" spans="1:76" ht="14.4" x14ac:dyDescent="0.3">
      <c r="A1122" s="53"/>
      <c r="C1122" s="54" t="s">
        <v>1768</v>
      </c>
      <c r="D1122" s="54" t="s">
        <v>4</v>
      </c>
      <c r="F1122" s="55">
        <v>520</v>
      </c>
      <c r="K1122" s="56"/>
    </row>
    <row r="1123" spans="1:76" ht="14.4" x14ac:dyDescent="0.3">
      <c r="A1123" s="53"/>
      <c r="C1123" s="54" t="s">
        <v>1136</v>
      </c>
      <c r="D1123" s="54" t="s">
        <v>4</v>
      </c>
      <c r="F1123" s="55">
        <v>220</v>
      </c>
      <c r="K1123" s="56"/>
    </row>
    <row r="1124" spans="1:76" ht="14.4" x14ac:dyDescent="0.3">
      <c r="A1124" s="1" t="s">
        <v>1769</v>
      </c>
      <c r="B1124" s="2" t="s">
        <v>1770</v>
      </c>
      <c r="C1124" s="75" t="s">
        <v>1771</v>
      </c>
      <c r="D1124" s="70"/>
      <c r="E1124" s="2" t="s">
        <v>62</v>
      </c>
      <c r="F1124" s="50">
        <v>272404.77</v>
      </c>
      <c r="G1124" s="50">
        <v>0</v>
      </c>
      <c r="H1124" s="50">
        <f>ROUND(F1124*AO1124,2)</f>
        <v>0</v>
      </c>
      <c r="I1124" s="50">
        <f>ROUND(F1124*AP1124,2)</f>
        <v>0</v>
      </c>
      <c r="J1124" s="50">
        <f>ROUND(F1124*G1124,2)</f>
        <v>0</v>
      </c>
      <c r="K1124" s="51" t="s">
        <v>116</v>
      </c>
      <c r="Z1124" s="50">
        <f>ROUND(IF(AQ1124="5",BJ1124,0),2)</f>
        <v>0</v>
      </c>
      <c r="AB1124" s="50">
        <f>ROUND(IF(AQ1124="1",BH1124,0),2)</f>
        <v>0</v>
      </c>
      <c r="AC1124" s="50">
        <f>ROUND(IF(AQ1124="1",BI1124,0),2)</f>
        <v>0</v>
      </c>
      <c r="AD1124" s="50">
        <f>ROUND(IF(AQ1124="7",BH1124,0),2)</f>
        <v>0</v>
      </c>
      <c r="AE1124" s="50">
        <f>ROUND(IF(AQ1124="7",BI1124,0),2)</f>
        <v>0</v>
      </c>
      <c r="AF1124" s="50">
        <f>ROUND(IF(AQ1124="2",BH1124,0),2)</f>
        <v>0</v>
      </c>
      <c r="AG1124" s="50">
        <f>ROUND(IF(AQ1124="2",BI1124,0),2)</f>
        <v>0</v>
      </c>
      <c r="AH1124" s="50">
        <f>ROUND(IF(AQ1124="0",BJ1124,0),2)</f>
        <v>0</v>
      </c>
      <c r="AI1124" s="32" t="s">
        <v>4</v>
      </c>
      <c r="AJ1124" s="50">
        <f>IF(AN1124=0,J1124,0)</f>
        <v>0</v>
      </c>
      <c r="AK1124" s="50">
        <f>IF(AN1124=12,J1124,0)</f>
        <v>0</v>
      </c>
      <c r="AL1124" s="50">
        <f>IF(AN1124=21,J1124,0)</f>
        <v>0</v>
      </c>
      <c r="AN1124" s="50">
        <v>21</v>
      </c>
      <c r="AO1124" s="50">
        <f>G1124*0</f>
        <v>0</v>
      </c>
      <c r="AP1124" s="50">
        <f>G1124*(1-0)</f>
        <v>0</v>
      </c>
      <c r="AQ1124" s="52" t="s">
        <v>132</v>
      </c>
      <c r="AV1124" s="50">
        <f>ROUND(AW1124+AX1124,2)</f>
        <v>0</v>
      </c>
      <c r="AW1124" s="50">
        <f>ROUND(F1124*AO1124,2)</f>
        <v>0</v>
      </c>
      <c r="AX1124" s="50">
        <f>ROUND(F1124*AP1124,2)</f>
        <v>0</v>
      </c>
      <c r="AY1124" s="52" t="s">
        <v>1711</v>
      </c>
      <c r="AZ1124" s="52" t="s">
        <v>1535</v>
      </c>
      <c r="BA1124" s="32" t="s">
        <v>119</v>
      </c>
      <c r="BC1124" s="50">
        <f>AW1124+AX1124</f>
        <v>0</v>
      </c>
      <c r="BD1124" s="50">
        <f>G1124/(100-BE1124)*100</f>
        <v>0</v>
      </c>
      <c r="BE1124" s="50">
        <v>0</v>
      </c>
      <c r="BF1124" s="50">
        <f>1124</f>
        <v>1124</v>
      </c>
      <c r="BH1124" s="50">
        <f>F1124*AO1124</f>
        <v>0</v>
      </c>
      <c r="BI1124" s="50">
        <f>F1124*AP1124</f>
        <v>0</v>
      </c>
      <c r="BJ1124" s="50">
        <f>F1124*G1124</f>
        <v>0</v>
      </c>
      <c r="BK1124" s="50"/>
      <c r="BL1124" s="50"/>
      <c r="BW1124" s="50">
        <v>21</v>
      </c>
      <c r="BX1124" s="3" t="s">
        <v>1771</v>
      </c>
    </row>
    <row r="1125" spans="1:76" ht="14.4" x14ac:dyDescent="0.3">
      <c r="A1125" s="1" t="s">
        <v>1772</v>
      </c>
      <c r="B1125" s="2" t="s">
        <v>1773</v>
      </c>
      <c r="C1125" s="75" t="s">
        <v>1774</v>
      </c>
      <c r="D1125" s="70"/>
      <c r="E1125" s="2" t="s">
        <v>233</v>
      </c>
      <c r="F1125" s="50">
        <v>95</v>
      </c>
      <c r="G1125" s="50">
        <v>0</v>
      </c>
      <c r="H1125" s="50">
        <f>ROUND(F1125*AO1125,2)</f>
        <v>0</v>
      </c>
      <c r="I1125" s="50">
        <f>ROUND(F1125*AP1125,2)</f>
        <v>0</v>
      </c>
      <c r="J1125" s="50">
        <f>ROUND(F1125*G1125,2)</f>
        <v>0</v>
      </c>
      <c r="K1125" s="51" t="s">
        <v>116</v>
      </c>
      <c r="Z1125" s="50">
        <f>ROUND(IF(AQ1125="5",BJ1125,0),2)</f>
        <v>0</v>
      </c>
      <c r="AB1125" s="50">
        <f>ROUND(IF(AQ1125="1",BH1125,0),2)</f>
        <v>0</v>
      </c>
      <c r="AC1125" s="50">
        <f>ROUND(IF(AQ1125="1",BI1125,0),2)</f>
        <v>0</v>
      </c>
      <c r="AD1125" s="50">
        <f>ROUND(IF(AQ1125="7",BH1125,0),2)</f>
        <v>0</v>
      </c>
      <c r="AE1125" s="50">
        <f>ROUND(IF(AQ1125="7",BI1125,0),2)</f>
        <v>0</v>
      </c>
      <c r="AF1125" s="50">
        <f>ROUND(IF(AQ1125="2",BH1125,0),2)</f>
        <v>0</v>
      </c>
      <c r="AG1125" s="50">
        <f>ROUND(IF(AQ1125="2",BI1125,0),2)</f>
        <v>0</v>
      </c>
      <c r="AH1125" s="50">
        <f>ROUND(IF(AQ1125="0",BJ1125,0),2)</f>
        <v>0</v>
      </c>
      <c r="AI1125" s="32" t="s">
        <v>4</v>
      </c>
      <c r="AJ1125" s="50">
        <f>IF(AN1125=0,J1125,0)</f>
        <v>0</v>
      </c>
      <c r="AK1125" s="50">
        <f>IF(AN1125=12,J1125,0)</f>
        <v>0</v>
      </c>
      <c r="AL1125" s="50">
        <f>IF(AN1125=21,J1125,0)</f>
        <v>0</v>
      </c>
      <c r="AN1125" s="50">
        <v>21</v>
      </c>
      <c r="AO1125" s="50">
        <f>G1125*0.358304696</f>
        <v>0</v>
      </c>
      <c r="AP1125" s="50">
        <f>G1125*(1-0.358304696)</f>
        <v>0</v>
      </c>
      <c r="AQ1125" s="52" t="s">
        <v>132</v>
      </c>
      <c r="AV1125" s="50">
        <f>ROUND(AW1125+AX1125,2)</f>
        <v>0</v>
      </c>
      <c r="AW1125" s="50">
        <f>ROUND(F1125*AO1125,2)</f>
        <v>0</v>
      </c>
      <c r="AX1125" s="50">
        <f>ROUND(F1125*AP1125,2)</f>
        <v>0</v>
      </c>
      <c r="AY1125" s="52" t="s">
        <v>1711</v>
      </c>
      <c r="AZ1125" s="52" t="s">
        <v>1535</v>
      </c>
      <c r="BA1125" s="32" t="s">
        <v>119</v>
      </c>
      <c r="BC1125" s="50">
        <f>AW1125+AX1125</f>
        <v>0</v>
      </c>
      <c r="BD1125" s="50">
        <f>G1125/(100-BE1125)*100</f>
        <v>0</v>
      </c>
      <c r="BE1125" s="50">
        <v>0</v>
      </c>
      <c r="BF1125" s="50">
        <f>1125</f>
        <v>1125</v>
      </c>
      <c r="BH1125" s="50">
        <f>F1125*AO1125</f>
        <v>0</v>
      </c>
      <c r="BI1125" s="50">
        <f>F1125*AP1125</f>
        <v>0</v>
      </c>
      <c r="BJ1125" s="50">
        <f>F1125*G1125</f>
        <v>0</v>
      </c>
      <c r="BK1125" s="50"/>
      <c r="BL1125" s="50"/>
      <c r="BW1125" s="50">
        <v>21</v>
      </c>
      <c r="BX1125" s="3" t="s">
        <v>1774</v>
      </c>
    </row>
    <row r="1126" spans="1:76" ht="13.5" customHeight="1" x14ac:dyDescent="0.3">
      <c r="A1126" s="53"/>
      <c r="B1126" s="57" t="s">
        <v>198</v>
      </c>
      <c r="C1126" s="150" t="s">
        <v>1775</v>
      </c>
      <c r="D1126" s="151"/>
      <c r="E1126" s="151"/>
      <c r="F1126" s="151"/>
      <c r="G1126" s="151"/>
      <c r="H1126" s="151"/>
      <c r="I1126" s="151"/>
      <c r="J1126" s="151"/>
      <c r="K1126" s="152"/>
    </row>
    <row r="1127" spans="1:76" ht="14.4" x14ac:dyDescent="0.3">
      <c r="A1127" s="53"/>
      <c r="C1127" s="54" t="s">
        <v>584</v>
      </c>
      <c r="D1127" s="54" t="s">
        <v>4</v>
      </c>
      <c r="F1127" s="55">
        <v>95</v>
      </c>
      <c r="K1127" s="56"/>
    </row>
    <row r="1128" spans="1:76" ht="14.4" x14ac:dyDescent="0.3">
      <c r="A1128" s="1" t="s">
        <v>1776</v>
      </c>
      <c r="B1128" s="2" t="s">
        <v>1777</v>
      </c>
      <c r="C1128" s="75" t="s">
        <v>1778</v>
      </c>
      <c r="D1128" s="70"/>
      <c r="E1128" s="2" t="s">
        <v>233</v>
      </c>
      <c r="F1128" s="50">
        <v>65</v>
      </c>
      <c r="G1128" s="50">
        <v>0</v>
      </c>
      <c r="H1128" s="50">
        <f>ROUND(F1128*AO1128,2)</f>
        <v>0</v>
      </c>
      <c r="I1128" s="50">
        <f>ROUND(F1128*AP1128,2)</f>
        <v>0</v>
      </c>
      <c r="J1128" s="50">
        <f>ROUND(F1128*G1128,2)</f>
        <v>0</v>
      </c>
      <c r="K1128" s="51" t="s">
        <v>116</v>
      </c>
      <c r="Z1128" s="50">
        <f>ROUND(IF(AQ1128="5",BJ1128,0),2)</f>
        <v>0</v>
      </c>
      <c r="AB1128" s="50">
        <f>ROUND(IF(AQ1128="1",BH1128,0),2)</f>
        <v>0</v>
      </c>
      <c r="AC1128" s="50">
        <f>ROUND(IF(AQ1128="1",BI1128,0),2)</f>
        <v>0</v>
      </c>
      <c r="AD1128" s="50">
        <f>ROUND(IF(AQ1128="7",BH1128,0),2)</f>
        <v>0</v>
      </c>
      <c r="AE1128" s="50">
        <f>ROUND(IF(AQ1128="7",BI1128,0),2)</f>
        <v>0</v>
      </c>
      <c r="AF1128" s="50">
        <f>ROUND(IF(AQ1128="2",BH1128,0),2)</f>
        <v>0</v>
      </c>
      <c r="AG1128" s="50">
        <f>ROUND(IF(AQ1128="2",BI1128,0),2)</f>
        <v>0</v>
      </c>
      <c r="AH1128" s="50">
        <f>ROUND(IF(AQ1128="0",BJ1128,0),2)</f>
        <v>0</v>
      </c>
      <c r="AI1128" s="32" t="s">
        <v>4</v>
      </c>
      <c r="AJ1128" s="50">
        <f>IF(AN1128=0,J1128,0)</f>
        <v>0</v>
      </c>
      <c r="AK1128" s="50">
        <f>IF(AN1128=12,J1128,0)</f>
        <v>0</v>
      </c>
      <c r="AL1128" s="50">
        <f>IF(AN1128=21,J1128,0)</f>
        <v>0</v>
      </c>
      <c r="AN1128" s="50">
        <v>21</v>
      </c>
      <c r="AO1128" s="50">
        <f>G1128*0.469771317</f>
        <v>0</v>
      </c>
      <c r="AP1128" s="50">
        <f>G1128*(1-0.469771317)</f>
        <v>0</v>
      </c>
      <c r="AQ1128" s="52" t="s">
        <v>132</v>
      </c>
      <c r="AV1128" s="50">
        <f>ROUND(AW1128+AX1128,2)</f>
        <v>0</v>
      </c>
      <c r="AW1128" s="50">
        <f>ROUND(F1128*AO1128,2)</f>
        <v>0</v>
      </c>
      <c r="AX1128" s="50">
        <f>ROUND(F1128*AP1128,2)</f>
        <v>0</v>
      </c>
      <c r="AY1128" s="52" t="s">
        <v>1711</v>
      </c>
      <c r="AZ1128" s="52" t="s">
        <v>1535</v>
      </c>
      <c r="BA1128" s="32" t="s">
        <v>119</v>
      </c>
      <c r="BC1128" s="50">
        <f>AW1128+AX1128</f>
        <v>0</v>
      </c>
      <c r="BD1128" s="50">
        <f>G1128/(100-BE1128)*100</f>
        <v>0</v>
      </c>
      <c r="BE1128" s="50">
        <v>0</v>
      </c>
      <c r="BF1128" s="50">
        <f>1128</f>
        <v>1128</v>
      </c>
      <c r="BH1128" s="50">
        <f>F1128*AO1128</f>
        <v>0</v>
      </c>
      <c r="BI1128" s="50">
        <f>F1128*AP1128</f>
        <v>0</v>
      </c>
      <c r="BJ1128" s="50">
        <f>F1128*G1128</f>
        <v>0</v>
      </c>
      <c r="BK1128" s="50"/>
      <c r="BL1128" s="50"/>
      <c r="BW1128" s="50">
        <v>21</v>
      </c>
      <c r="BX1128" s="3" t="s">
        <v>1778</v>
      </c>
    </row>
    <row r="1129" spans="1:76" ht="13.5" customHeight="1" x14ac:dyDescent="0.3">
      <c r="A1129" s="53"/>
      <c r="B1129" s="57" t="s">
        <v>198</v>
      </c>
      <c r="C1129" s="150" t="s">
        <v>1779</v>
      </c>
      <c r="D1129" s="151"/>
      <c r="E1129" s="151"/>
      <c r="F1129" s="151"/>
      <c r="G1129" s="151"/>
      <c r="H1129" s="151"/>
      <c r="I1129" s="151"/>
      <c r="J1129" s="151"/>
      <c r="K1129" s="152"/>
    </row>
    <row r="1130" spans="1:76" ht="14.4" x14ac:dyDescent="0.3">
      <c r="A1130" s="53"/>
      <c r="C1130" s="54" t="s">
        <v>436</v>
      </c>
      <c r="D1130" s="54" t="s">
        <v>4</v>
      </c>
      <c r="F1130" s="55">
        <v>65</v>
      </c>
      <c r="K1130" s="56"/>
    </row>
    <row r="1131" spans="1:76" ht="14.4" x14ac:dyDescent="0.3">
      <c r="A1131" s="1" t="s">
        <v>1780</v>
      </c>
      <c r="B1131" s="2" t="s">
        <v>1781</v>
      </c>
      <c r="C1131" s="75" t="s">
        <v>1782</v>
      </c>
      <c r="D1131" s="70"/>
      <c r="E1131" s="2" t="s">
        <v>233</v>
      </c>
      <c r="F1131" s="50">
        <v>35</v>
      </c>
      <c r="G1131" s="50">
        <v>0</v>
      </c>
      <c r="H1131" s="50">
        <f>ROUND(F1131*AO1131,2)</f>
        <v>0</v>
      </c>
      <c r="I1131" s="50">
        <f>ROUND(F1131*AP1131,2)</f>
        <v>0</v>
      </c>
      <c r="J1131" s="50">
        <f>ROUND(F1131*G1131,2)</f>
        <v>0</v>
      </c>
      <c r="K1131" s="51" t="s">
        <v>116</v>
      </c>
      <c r="Z1131" s="50">
        <f>ROUND(IF(AQ1131="5",BJ1131,0),2)</f>
        <v>0</v>
      </c>
      <c r="AB1131" s="50">
        <f>ROUND(IF(AQ1131="1",BH1131,0),2)</f>
        <v>0</v>
      </c>
      <c r="AC1131" s="50">
        <f>ROUND(IF(AQ1131="1",BI1131,0),2)</f>
        <v>0</v>
      </c>
      <c r="AD1131" s="50">
        <f>ROUND(IF(AQ1131="7",BH1131,0),2)</f>
        <v>0</v>
      </c>
      <c r="AE1131" s="50">
        <f>ROUND(IF(AQ1131="7",BI1131,0),2)</f>
        <v>0</v>
      </c>
      <c r="AF1131" s="50">
        <f>ROUND(IF(AQ1131="2",BH1131,0),2)</f>
        <v>0</v>
      </c>
      <c r="AG1131" s="50">
        <f>ROUND(IF(AQ1131="2",BI1131,0),2)</f>
        <v>0</v>
      </c>
      <c r="AH1131" s="50">
        <f>ROUND(IF(AQ1131="0",BJ1131,0),2)</f>
        <v>0</v>
      </c>
      <c r="AI1131" s="32" t="s">
        <v>4</v>
      </c>
      <c r="AJ1131" s="50">
        <f>IF(AN1131=0,J1131,0)</f>
        <v>0</v>
      </c>
      <c r="AK1131" s="50">
        <f>IF(AN1131=12,J1131,0)</f>
        <v>0</v>
      </c>
      <c r="AL1131" s="50">
        <f>IF(AN1131=21,J1131,0)</f>
        <v>0</v>
      </c>
      <c r="AN1131" s="50">
        <v>21</v>
      </c>
      <c r="AO1131" s="50">
        <f>G1131*0.586472542</f>
        <v>0</v>
      </c>
      <c r="AP1131" s="50">
        <f>G1131*(1-0.586472542)</f>
        <v>0</v>
      </c>
      <c r="AQ1131" s="52" t="s">
        <v>132</v>
      </c>
      <c r="AV1131" s="50">
        <f>ROUND(AW1131+AX1131,2)</f>
        <v>0</v>
      </c>
      <c r="AW1131" s="50">
        <f>ROUND(F1131*AO1131,2)</f>
        <v>0</v>
      </c>
      <c r="AX1131" s="50">
        <f>ROUND(F1131*AP1131,2)</f>
        <v>0</v>
      </c>
      <c r="AY1131" s="52" t="s">
        <v>1711</v>
      </c>
      <c r="AZ1131" s="52" t="s">
        <v>1535</v>
      </c>
      <c r="BA1131" s="32" t="s">
        <v>119</v>
      </c>
      <c r="BC1131" s="50">
        <f>AW1131+AX1131</f>
        <v>0</v>
      </c>
      <c r="BD1131" s="50">
        <f>G1131/(100-BE1131)*100</f>
        <v>0</v>
      </c>
      <c r="BE1131" s="50">
        <v>0</v>
      </c>
      <c r="BF1131" s="50">
        <f>1131</f>
        <v>1131</v>
      </c>
      <c r="BH1131" s="50">
        <f>F1131*AO1131</f>
        <v>0</v>
      </c>
      <c r="BI1131" s="50">
        <f>F1131*AP1131</f>
        <v>0</v>
      </c>
      <c r="BJ1131" s="50">
        <f>F1131*G1131</f>
        <v>0</v>
      </c>
      <c r="BK1131" s="50"/>
      <c r="BL1131" s="50"/>
      <c r="BW1131" s="50">
        <v>21</v>
      </c>
      <c r="BX1131" s="3" t="s">
        <v>1782</v>
      </c>
    </row>
    <row r="1132" spans="1:76" ht="13.5" customHeight="1" x14ac:dyDescent="0.3">
      <c r="A1132" s="53"/>
      <c r="B1132" s="57" t="s">
        <v>198</v>
      </c>
      <c r="C1132" s="150" t="s">
        <v>1783</v>
      </c>
      <c r="D1132" s="151"/>
      <c r="E1132" s="151"/>
      <c r="F1132" s="151"/>
      <c r="G1132" s="151"/>
      <c r="H1132" s="151"/>
      <c r="I1132" s="151"/>
      <c r="J1132" s="151"/>
      <c r="K1132" s="152"/>
    </row>
    <row r="1133" spans="1:76" ht="14.4" x14ac:dyDescent="0.3">
      <c r="A1133" s="53"/>
      <c r="C1133" s="54" t="s">
        <v>299</v>
      </c>
      <c r="D1133" s="54" t="s">
        <v>4</v>
      </c>
      <c r="F1133" s="55">
        <v>35</v>
      </c>
      <c r="K1133" s="56"/>
    </row>
    <row r="1134" spans="1:76" ht="14.4" x14ac:dyDescent="0.3">
      <c r="A1134" s="1" t="s">
        <v>1784</v>
      </c>
      <c r="B1134" s="2" t="s">
        <v>1785</v>
      </c>
      <c r="C1134" s="75" t="s">
        <v>1786</v>
      </c>
      <c r="D1134" s="70"/>
      <c r="E1134" s="2" t="s">
        <v>233</v>
      </c>
      <c r="F1134" s="50">
        <v>10</v>
      </c>
      <c r="G1134" s="50">
        <v>0</v>
      </c>
      <c r="H1134" s="50">
        <f>ROUND(F1134*AO1134,2)</f>
        <v>0</v>
      </c>
      <c r="I1134" s="50">
        <f>ROUND(F1134*AP1134,2)</f>
        <v>0</v>
      </c>
      <c r="J1134" s="50">
        <f>ROUND(F1134*G1134,2)</f>
        <v>0</v>
      </c>
      <c r="K1134" s="51" t="s">
        <v>116</v>
      </c>
      <c r="Z1134" s="50">
        <f>ROUND(IF(AQ1134="5",BJ1134,0),2)</f>
        <v>0</v>
      </c>
      <c r="AB1134" s="50">
        <f>ROUND(IF(AQ1134="1",BH1134,0),2)</f>
        <v>0</v>
      </c>
      <c r="AC1134" s="50">
        <f>ROUND(IF(AQ1134="1",BI1134,0),2)</f>
        <v>0</v>
      </c>
      <c r="AD1134" s="50">
        <f>ROUND(IF(AQ1134="7",BH1134,0),2)</f>
        <v>0</v>
      </c>
      <c r="AE1134" s="50">
        <f>ROUND(IF(AQ1134="7",BI1134,0),2)</f>
        <v>0</v>
      </c>
      <c r="AF1134" s="50">
        <f>ROUND(IF(AQ1134="2",BH1134,0),2)</f>
        <v>0</v>
      </c>
      <c r="AG1134" s="50">
        <f>ROUND(IF(AQ1134="2",BI1134,0),2)</f>
        <v>0</v>
      </c>
      <c r="AH1134" s="50">
        <f>ROUND(IF(AQ1134="0",BJ1134,0),2)</f>
        <v>0</v>
      </c>
      <c r="AI1134" s="32" t="s">
        <v>4</v>
      </c>
      <c r="AJ1134" s="50">
        <f>IF(AN1134=0,J1134,0)</f>
        <v>0</v>
      </c>
      <c r="AK1134" s="50">
        <f>IF(AN1134=12,J1134,0)</f>
        <v>0</v>
      </c>
      <c r="AL1134" s="50">
        <f>IF(AN1134=21,J1134,0)</f>
        <v>0</v>
      </c>
      <c r="AN1134" s="50">
        <v>21</v>
      </c>
      <c r="AO1134" s="50">
        <f>G1134*0</f>
        <v>0</v>
      </c>
      <c r="AP1134" s="50">
        <f>G1134*(1-0)</f>
        <v>0</v>
      </c>
      <c r="AQ1134" s="52" t="s">
        <v>132</v>
      </c>
      <c r="AV1134" s="50">
        <f>ROUND(AW1134+AX1134,2)</f>
        <v>0</v>
      </c>
      <c r="AW1134" s="50">
        <f>ROUND(F1134*AO1134,2)</f>
        <v>0</v>
      </c>
      <c r="AX1134" s="50">
        <f>ROUND(F1134*AP1134,2)</f>
        <v>0</v>
      </c>
      <c r="AY1134" s="52" t="s">
        <v>1711</v>
      </c>
      <c r="AZ1134" s="52" t="s">
        <v>1535</v>
      </c>
      <c r="BA1134" s="32" t="s">
        <v>119</v>
      </c>
      <c r="BC1134" s="50">
        <f>AW1134+AX1134</f>
        <v>0</v>
      </c>
      <c r="BD1134" s="50">
        <f>G1134/(100-BE1134)*100</f>
        <v>0</v>
      </c>
      <c r="BE1134" s="50">
        <v>0</v>
      </c>
      <c r="BF1134" s="50">
        <f>1134</f>
        <v>1134</v>
      </c>
      <c r="BH1134" s="50">
        <f>F1134*AO1134</f>
        <v>0</v>
      </c>
      <c r="BI1134" s="50">
        <f>F1134*AP1134</f>
        <v>0</v>
      </c>
      <c r="BJ1134" s="50">
        <f>F1134*G1134</f>
        <v>0</v>
      </c>
      <c r="BK1134" s="50"/>
      <c r="BL1134" s="50"/>
      <c r="BW1134" s="50">
        <v>21</v>
      </c>
      <c r="BX1134" s="3" t="s">
        <v>1786</v>
      </c>
    </row>
    <row r="1135" spans="1:76" ht="14.4" x14ac:dyDescent="0.3">
      <c r="A1135" s="53"/>
      <c r="C1135" s="54" t="s">
        <v>170</v>
      </c>
      <c r="D1135" s="54" t="s">
        <v>4</v>
      </c>
      <c r="F1135" s="55">
        <v>10</v>
      </c>
      <c r="K1135" s="56"/>
    </row>
    <row r="1136" spans="1:76" ht="14.4" x14ac:dyDescent="0.3">
      <c r="A1136" s="1" t="s">
        <v>1787</v>
      </c>
      <c r="B1136" s="2" t="s">
        <v>1788</v>
      </c>
      <c r="C1136" s="75" t="s">
        <v>1789</v>
      </c>
      <c r="D1136" s="70"/>
      <c r="E1136" s="2" t="s">
        <v>233</v>
      </c>
      <c r="F1136" s="50">
        <v>10</v>
      </c>
      <c r="G1136" s="50">
        <v>0</v>
      </c>
      <c r="H1136" s="50">
        <f>ROUND(F1136*AO1136,2)</f>
        <v>0</v>
      </c>
      <c r="I1136" s="50">
        <f>ROUND(F1136*AP1136,2)</f>
        <v>0</v>
      </c>
      <c r="J1136" s="50">
        <f>ROUND(F1136*G1136,2)</f>
        <v>0</v>
      </c>
      <c r="K1136" s="51" t="s">
        <v>116</v>
      </c>
      <c r="Z1136" s="50">
        <f>ROUND(IF(AQ1136="5",BJ1136,0),2)</f>
        <v>0</v>
      </c>
      <c r="AB1136" s="50">
        <f>ROUND(IF(AQ1136="1",BH1136,0),2)</f>
        <v>0</v>
      </c>
      <c r="AC1136" s="50">
        <f>ROUND(IF(AQ1136="1",BI1136,0),2)</f>
        <v>0</v>
      </c>
      <c r="AD1136" s="50">
        <f>ROUND(IF(AQ1136="7",BH1136,0),2)</f>
        <v>0</v>
      </c>
      <c r="AE1136" s="50">
        <f>ROUND(IF(AQ1136="7",BI1136,0),2)</f>
        <v>0</v>
      </c>
      <c r="AF1136" s="50">
        <f>ROUND(IF(AQ1136="2",BH1136,0),2)</f>
        <v>0</v>
      </c>
      <c r="AG1136" s="50">
        <f>ROUND(IF(AQ1136="2",BI1136,0),2)</f>
        <v>0</v>
      </c>
      <c r="AH1136" s="50">
        <f>ROUND(IF(AQ1136="0",BJ1136,0),2)</f>
        <v>0</v>
      </c>
      <c r="AI1136" s="32" t="s">
        <v>4</v>
      </c>
      <c r="AJ1136" s="50">
        <f>IF(AN1136=0,J1136,0)</f>
        <v>0</v>
      </c>
      <c r="AK1136" s="50">
        <f>IF(AN1136=12,J1136,0)</f>
        <v>0</v>
      </c>
      <c r="AL1136" s="50">
        <f>IF(AN1136=21,J1136,0)</f>
        <v>0</v>
      </c>
      <c r="AN1136" s="50">
        <v>21</v>
      </c>
      <c r="AO1136" s="50">
        <f>G1136*1</f>
        <v>0</v>
      </c>
      <c r="AP1136" s="50">
        <f>G1136*(1-1)</f>
        <v>0</v>
      </c>
      <c r="AQ1136" s="52" t="s">
        <v>132</v>
      </c>
      <c r="AV1136" s="50">
        <f>ROUND(AW1136+AX1136,2)</f>
        <v>0</v>
      </c>
      <c r="AW1136" s="50">
        <f>ROUND(F1136*AO1136,2)</f>
        <v>0</v>
      </c>
      <c r="AX1136" s="50">
        <f>ROUND(F1136*AP1136,2)</f>
        <v>0</v>
      </c>
      <c r="AY1136" s="52" t="s">
        <v>1711</v>
      </c>
      <c r="AZ1136" s="52" t="s">
        <v>1535</v>
      </c>
      <c r="BA1136" s="32" t="s">
        <v>119</v>
      </c>
      <c r="BC1136" s="50">
        <f>AW1136+AX1136</f>
        <v>0</v>
      </c>
      <c r="BD1136" s="50">
        <f>G1136/(100-BE1136)*100</f>
        <v>0</v>
      </c>
      <c r="BE1136" s="50">
        <v>0</v>
      </c>
      <c r="BF1136" s="50">
        <f>1136</f>
        <v>1136</v>
      </c>
      <c r="BH1136" s="50">
        <f>F1136*AO1136</f>
        <v>0</v>
      </c>
      <c r="BI1136" s="50">
        <f>F1136*AP1136</f>
        <v>0</v>
      </c>
      <c r="BJ1136" s="50">
        <f>F1136*G1136</f>
        <v>0</v>
      </c>
      <c r="BK1136" s="50"/>
      <c r="BL1136" s="50"/>
      <c r="BW1136" s="50">
        <v>21</v>
      </c>
      <c r="BX1136" s="3" t="s">
        <v>1789</v>
      </c>
    </row>
    <row r="1137" spans="1:76" ht="14.4" x14ac:dyDescent="0.3">
      <c r="A1137" s="53"/>
      <c r="C1137" s="54" t="s">
        <v>170</v>
      </c>
      <c r="D1137" s="54" t="s">
        <v>4</v>
      </c>
      <c r="F1137" s="55">
        <v>10</v>
      </c>
      <c r="K1137" s="56"/>
    </row>
    <row r="1138" spans="1:76" ht="14.4" x14ac:dyDescent="0.3">
      <c r="A1138" s="1" t="s">
        <v>1790</v>
      </c>
      <c r="B1138" s="2" t="s">
        <v>1791</v>
      </c>
      <c r="C1138" s="75" t="s">
        <v>1792</v>
      </c>
      <c r="D1138" s="70"/>
      <c r="E1138" s="2" t="s">
        <v>278</v>
      </c>
      <c r="F1138" s="50">
        <v>6</v>
      </c>
      <c r="G1138" s="50">
        <v>0</v>
      </c>
      <c r="H1138" s="50">
        <f>ROUND(F1138*AO1138,2)</f>
        <v>0</v>
      </c>
      <c r="I1138" s="50">
        <f>ROUND(F1138*AP1138,2)</f>
        <v>0</v>
      </c>
      <c r="J1138" s="50">
        <f>ROUND(F1138*G1138,2)</f>
        <v>0</v>
      </c>
      <c r="K1138" s="51" t="s">
        <v>116</v>
      </c>
      <c r="Z1138" s="50">
        <f>ROUND(IF(AQ1138="5",BJ1138,0),2)</f>
        <v>0</v>
      </c>
      <c r="AB1138" s="50">
        <f>ROUND(IF(AQ1138="1",BH1138,0),2)</f>
        <v>0</v>
      </c>
      <c r="AC1138" s="50">
        <f>ROUND(IF(AQ1138="1",BI1138,0),2)</f>
        <v>0</v>
      </c>
      <c r="AD1138" s="50">
        <f>ROUND(IF(AQ1138="7",BH1138,0),2)</f>
        <v>0</v>
      </c>
      <c r="AE1138" s="50">
        <f>ROUND(IF(AQ1138="7",BI1138,0),2)</f>
        <v>0</v>
      </c>
      <c r="AF1138" s="50">
        <f>ROUND(IF(AQ1138="2",BH1138,0),2)</f>
        <v>0</v>
      </c>
      <c r="AG1138" s="50">
        <f>ROUND(IF(AQ1138="2",BI1138,0),2)</f>
        <v>0</v>
      </c>
      <c r="AH1138" s="50">
        <f>ROUND(IF(AQ1138="0",BJ1138,0),2)</f>
        <v>0</v>
      </c>
      <c r="AI1138" s="32" t="s">
        <v>4</v>
      </c>
      <c r="AJ1138" s="50">
        <f>IF(AN1138=0,J1138,0)</f>
        <v>0</v>
      </c>
      <c r="AK1138" s="50">
        <f>IF(AN1138=12,J1138,0)</f>
        <v>0</v>
      </c>
      <c r="AL1138" s="50">
        <f>IF(AN1138=21,J1138,0)</f>
        <v>0</v>
      </c>
      <c r="AN1138" s="50">
        <v>21</v>
      </c>
      <c r="AO1138" s="50">
        <f>G1138*0</f>
        <v>0</v>
      </c>
      <c r="AP1138" s="50">
        <f>G1138*(1-0)</f>
        <v>0</v>
      </c>
      <c r="AQ1138" s="52" t="s">
        <v>132</v>
      </c>
      <c r="AV1138" s="50">
        <f>ROUND(AW1138+AX1138,2)</f>
        <v>0</v>
      </c>
      <c r="AW1138" s="50">
        <f>ROUND(F1138*AO1138,2)</f>
        <v>0</v>
      </c>
      <c r="AX1138" s="50">
        <f>ROUND(F1138*AP1138,2)</f>
        <v>0</v>
      </c>
      <c r="AY1138" s="52" t="s">
        <v>1711</v>
      </c>
      <c r="AZ1138" s="52" t="s">
        <v>1535</v>
      </c>
      <c r="BA1138" s="32" t="s">
        <v>119</v>
      </c>
      <c r="BC1138" s="50">
        <f>AW1138+AX1138</f>
        <v>0</v>
      </c>
      <c r="BD1138" s="50">
        <f>G1138/(100-BE1138)*100</f>
        <v>0</v>
      </c>
      <c r="BE1138" s="50">
        <v>0</v>
      </c>
      <c r="BF1138" s="50">
        <f>1138</f>
        <v>1138</v>
      </c>
      <c r="BH1138" s="50">
        <f>F1138*AO1138</f>
        <v>0</v>
      </c>
      <c r="BI1138" s="50">
        <f>F1138*AP1138</f>
        <v>0</v>
      </c>
      <c r="BJ1138" s="50">
        <f>F1138*G1138</f>
        <v>0</v>
      </c>
      <c r="BK1138" s="50"/>
      <c r="BL1138" s="50"/>
      <c r="BW1138" s="50">
        <v>21</v>
      </c>
      <c r="BX1138" s="3" t="s">
        <v>1792</v>
      </c>
    </row>
    <row r="1139" spans="1:76" ht="14.4" x14ac:dyDescent="0.3">
      <c r="A1139" s="53"/>
      <c r="C1139" s="54" t="s">
        <v>150</v>
      </c>
      <c r="D1139" s="54" t="s">
        <v>4</v>
      </c>
      <c r="F1139" s="55">
        <v>6</v>
      </c>
      <c r="K1139" s="56"/>
    </row>
    <row r="1140" spans="1:76" ht="14.4" x14ac:dyDescent="0.3">
      <c r="A1140" s="1" t="s">
        <v>1793</v>
      </c>
      <c r="B1140" s="2" t="s">
        <v>1794</v>
      </c>
      <c r="C1140" s="75" t="s">
        <v>1795</v>
      </c>
      <c r="D1140" s="70"/>
      <c r="E1140" s="2" t="s">
        <v>278</v>
      </c>
      <c r="F1140" s="50">
        <v>6</v>
      </c>
      <c r="G1140" s="50">
        <v>0</v>
      </c>
      <c r="H1140" s="50">
        <f>ROUND(F1140*AO1140,2)</f>
        <v>0</v>
      </c>
      <c r="I1140" s="50">
        <f>ROUND(F1140*AP1140,2)</f>
        <v>0</v>
      </c>
      <c r="J1140" s="50">
        <f>ROUND(F1140*G1140,2)</f>
        <v>0</v>
      </c>
      <c r="K1140" s="51" t="s">
        <v>116</v>
      </c>
      <c r="Z1140" s="50">
        <f>ROUND(IF(AQ1140="5",BJ1140,0),2)</f>
        <v>0</v>
      </c>
      <c r="AB1140" s="50">
        <f>ROUND(IF(AQ1140="1",BH1140,0),2)</f>
        <v>0</v>
      </c>
      <c r="AC1140" s="50">
        <f>ROUND(IF(AQ1140="1",BI1140,0),2)</f>
        <v>0</v>
      </c>
      <c r="AD1140" s="50">
        <f>ROUND(IF(AQ1140="7",BH1140,0),2)</f>
        <v>0</v>
      </c>
      <c r="AE1140" s="50">
        <f>ROUND(IF(AQ1140="7",BI1140,0),2)</f>
        <v>0</v>
      </c>
      <c r="AF1140" s="50">
        <f>ROUND(IF(AQ1140="2",BH1140,0),2)</f>
        <v>0</v>
      </c>
      <c r="AG1140" s="50">
        <f>ROUND(IF(AQ1140="2",BI1140,0),2)</f>
        <v>0</v>
      </c>
      <c r="AH1140" s="50">
        <f>ROUND(IF(AQ1140="0",BJ1140,0),2)</f>
        <v>0</v>
      </c>
      <c r="AI1140" s="32" t="s">
        <v>4</v>
      </c>
      <c r="AJ1140" s="50">
        <f>IF(AN1140=0,J1140,0)</f>
        <v>0</v>
      </c>
      <c r="AK1140" s="50">
        <f>IF(AN1140=12,J1140,0)</f>
        <v>0</v>
      </c>
      <c r="AL1140" s="50">
        <f>IF(AN1140=21,J1140,0)</f>
        <v>0</v>
      </c>
      <c r="AN1140" s="50">
        <v>21</v>
      </c>
      <c r="AO1140" s="50">
        <f>G1140*1</f>
        <v>0</v>
      </c>
      <c r="AP1140" s="50">
        <f>G1140*(1-1)</f>
        <v>0</v>
      </c>
      <c r="AQ1140" s="52" t="s">
        <v>132</v>
      </c>
      <c r="AV1140" s="50">
        <f>ROUND(AW1140+AX1140,2)</f>
        <v>0</v>
      </c>
      <c r="AW1140" s="50">
        <f>ROUND(F1140*AO1140,2)</f>
        <v>0</v>
      </c>
      <c r="AX1140" s="50">
        <f>ROUND(F1140*AP1140,2)</f>
        <v>0</v>
      </c>
      <c r="AY1140" s="52" t="s">
        <v>1711</v>
      </c>
      <c r="AZ1140" s="52" t="s">
        <v>1535</v>
      </c>
      <c r="BA1140" s="32" t="s">
        <v>119</v>
      </c>
      <c r="BC1140" s="50">
        <f>AW1140+AX1140</f>
        <v>0</v>
      </c>
      <c r="BD1140" s="50">
        <f>G1140/(100-BE1140)*100</f>
        <v>0</v>
      </c>
      <c r="BE1140" s="50">
        <v>0</v>
      </c>
      <c r="BF1140" s="50">
        <f>1140</f>
        <v>1140</v>
      </c>
      <c r="BH1140" s="50">
        <f>F1140*AO1140</f>
        <v>0</v>
      </c>
      <c r="BI1140" s="50">
        <f>F1140*AP1140</f>
        <v>0</v>
      </c>
      <c r="BJ1140" s="50">
        <f>F1140*G1140</f>
        <v>0</v>
      </c>
      <c r="BK1140" s="50"/>
      <c r="BL1140" s="50"/>
      <c r="BW1140" s="50">
        <v>21</v>
      </c>
      <c r="BX1140" s="3" t="s">
        <v>1795</v>
      </c>
    </row>
    <row r="1141" spans="1:76" ht="14.4" x14ac:dyDescent="0.3">
      <c r="A1141" s="53"/>
      <c r="C1141" s="54" t="s">
        <v>150</v>
      </c>
      <c r="D1141" s="54" t="s">
        <v>4</v>
      </c>
      <c r="F1141" s="55">
        <v>6</v>
      </c>
      <c r="K1141" s="56"/>
    </row>
    <row r="1142" spans="1:76" ht="14.4" x14ac:dyDescent="0.3">
      <c r="A1142" s="46" t="s">
        <v>4</v>
      </c>
      <c r="B1142" s="47" t="s">
        <v>1796</v>
      </c>
      <c r="C1142" s="148" t="s">
        <v>1797</v>
      </c>
      <c r="D1142" s="149"/>
      <c r="E1142" s="48" t="s">
        <v>74</v>
      </c>
      <c r="F1142" s="48" t="s">
        <v>74</v>
      </c>
      <c r="G1142" s="48" t="s">
        <v>74</v>
      </c>
      <c r="H1142" s="26">
        <f>SUM(H1143:H1143)</f>
        <v>0</v>
      </c>
      <c r="I1142" s="26">
        <f>SUM(I1143:I1143)</f>
        <v>0</v>
      </c>
      <c r="J1142" s="26">
        <f>SUM(J1143:J1143)</f>
        <v>0</v>
      </c>
      <c r="K1142" s="49" t="s">
        <v>4</v>
      </c>
      <c r="AI1142" s="32" t="s">
        <v>4</v>
      </c>
      <c r="AS1142" s="26">
        <f>SUM(AJ1143:AJ1143)</f>
        <v>0</v>
      </c>
      <c r="AT1142" s="26">
        <f>SUM(AK1143:AK1143)</f>
        <v>0</v>
      </c>
      <c r="AU1142" s="26">
        <f>SUM(AL1143:AL1143)</f>
        <v>0</v>
      </c>
    </row>
    <row r="1143" spans="1:76" ht="14.4" x14ac:dyDescent="0.3">
      <c r="A1143" s="1" t="s">
        <v>1798</v>
      </c>
      <c r="B1143" s="2" t="s">
        <v>1799</v>
      </c>
      <c r="C1143" s="75" t="s">
        <v>1800</v>
      </c>
      <c r="D1143" s="70"/>
      <c r="E1143" s="2" t="s">
        <v>874</v>
      </c>
      <c r="F1143" s="50">
        <v>1</v>
      </c>
      <c r="G1143" s="50">
        <v>0</v>
      </c>
      <c r="H1143" s="50">
        <f>ROUND(F1143*AO1143,2)</f>
        <v>0</v>
      </c>
      <c r="I1143" s="50">
        <f>ROUND(F1143*AP1143,2)</f>
        <v>0</v>
      </c>
      <c r="J1143" s="50">
        <f>ROUND(F1143*G1143,2)</f>
        <v>0</v>
      </c>
      <c r="K1143" s="51" t="s">
        <v>4</v>
      </c>
      <c r="Z1143" s="50">
        <f>ROUND(IF(AQ1143="5",BJ1143,0),2)</f>
        <v>0</v>
      </c>
      <c r="AB1143" s="50">
        <f>ROUND(IF(AQ1143="1",BH1143,0),2)</f>
        <v>0</v>
      </c>
      <c r="AC1143" s="50">
        <f>ROUND(IF(AQ1143="1",BI1143,0),2)</f>
        <v>0</v>
      </c>
      <c r="AD1143" s="50">
        <f>ROUND(IF(AQ1143="7",BH1143,0),2)</f>
        <v>0</v>
      </c>
      <c r="AE1143" s="50">
        <f>ROUND(IF(AQ1143="7",BI1143,0),2)</f>
        <v>0</v>
      </c>
      <c r="AF1143" s="50">
        <f>ROUND(IF(AQ1143="2",BH1143,0),2)</f>
        <v>0</v>
      </c>
      <c r="AG1143" s="50">
        <f>ROUND(IF(AQ1143="2",BI1143,0),2)</f>
        <v>0</v>
      </c>
      <c r="AH1143" s="50">
        <f>ROUND(IF(AQ1143="0",BJ1143,0),2)</f>
        <v>0</v>
      </c>
      <c r="AI1143" s="32" t="s">
        <v>4</v>
      </c>
      <c r="AJ1143" s="50">
        <f>IF(AN1143=0,J1143,0)</f>
        <v>0</v>
      </c>
      <c r="AK1143" s="50">
        <f>IF(AN1143=12,J1143,0)</f>
        <v>0</v>
      </c>
      <c r="AL1143" s="50">
        <f>IF(AN1143=21,J1143,0)</f>
        <v>0</v>
      </c>
      <c r="AN1143" s="50">
        <v>21</v>
      </c>
      <c r="AO1143" s="50">
        <f>G1143*0.568426955</f>
        <v>0</v>
      </c>
      <c r="AP1143" s="50">
        <f>G1143*(1-0.568426955)</f>
        <v>0</v>
      </c>
      <c r="AQ1143" s="52" t="s">
        <v>132</v>
      </c>
      <c r="AV1143" s="50">
        <f>ROUND(AW1143+AX1143,2)</f>
        <v>0</v>
      </c>
      <c r="AW1143" s="50">
        <f>ROUND(F1143*AO1143,2)</f>
        <v>0</v>
      </c>
      <c r="AX1143" s="50">
        <f>ROUND(F1143*AP1143,2)</f>
        <v>0</v>
      </c>
      <c r="AY1143" s="52" t="s">
        <v>1801</v>
      </c>
      <c r="AZ1143" s="52" t="s">
        <v>1535</v>
      </c>
      <c r="BA1143" s="32" t="s">
        <v>119</v>
      </c>
      <c r="BC1143" s="50">
        <f>AW1143+AX1143</f>
        <v>0</v>
      </c>
      <c r="BD1143" s="50">
        <f>G1143/(100-BE1143)*100</f>
        <v>0</v>
      </c>
      <c r="BE1143" s="50">
        <v>0</v>
      </c>
      <c r="BF1143" s="50">
        <f>1143</f>
        <v>1143</v>
      </c>
      <c r="BH1143" s="50">
        <f>F1143*AO1143</f>
        <v>0</v>
      </c>
      <c r="BI1143" s="50">
        <f>F1143*AP1143</f>
        <v>0</v>
      </c>
      <c r="BJ1143" s="50">
        <f>F1143*G1143</f>
        <v>0</v>
      </c>
      <c r="BK1143" s="50"/>
      <c r="BL1143" s="50"/>
      <c r="BW1143" s="50">
        <v>21</v>
      </c>
      <c r="BX1143" s="3" t="s">
        <v>1800</v>
      </c>
    </row>
    <row r="1144" spans="1:76" ht="14.4" x14ac:dyDescent="0.3">
      <c r="A1144" s="58"/>
      <c r="B1144" s="59"/>
      <c r="C1144" s="60" t="s">
        <v>112</v>
      </c>
      <c r="D1144" s="60" t="s">
        <v>4</v>
      </c>
      <c r="E1144" s="59"/>
      <c r="F1144" s="61">
        <v>1</v>
      </c>
      <c r="G1144" s="59"/>
      <c r="H1144" s="59"/>
      <c r="I1144" s="59"/>
      <c r="J1144" s="59"/>
      <c r="K1144" s="62"/>
    </row>
    <row r="1145" spans="1:76" ht="14.4" x14ac:dyDescent="0.3">
      <c r="H1145" s="153" t="s">
        <v>1802</v>
      </c>
      <c r="I1145" s="153"/>
      <c r="J1145" s="63">
        <f>ROUND(J13+J54+J76+J103+J108+J145+J185+J239+J254+J284+J331+J334+J340+J381+J397+J401+J409+J421+J468+J507+J552+J598+J604+J621+J626+J629+J641+J648+J651+J686+J713+J724+J753+J772+J827+J858+J881+J889+J911+J919+J924+J936+J963+J974+J979+J988+J998+J1001+J1052+J1071+J1079+J1142,2)</f>
        <v>0</v>
      </c>
    </row>
    <row r="1146" spans="1:76" ht="14.4" x14ac:dyDescent="0.3">
      <c r="A1146" s="64" t="s">
        <v>57</v>
      </c>
    </row>
    <row r="1147" spans="1:76" ht="12.75" customHeight="1" x14ac:dyDescent="0.3">
      <c r="A1147" s="75" t="s">
        <v>4</v>
      </c>
      <c r="B1147" s="70"/>
      <c r="C1147" s="70"/>
      <c r="D1147" s="70"/>
      <c r="E1147" s="70"/>
      <c r="F1147" s="70"/>
      <c r="G1147" s="70"/>
      <c r="H1147" s="70"/>
      <c r="I1147" s="70"/>
      <c r="J1147" s="70"/>
      <c r="K1147" s="70"/>
    </row>
  </sheetData>
  <mergeCells count="550">
    <mergeCell ref="C1142:D1142"/>
    <mergeCell ref="C1143:D1143"/>
    <mergeCell ref="H1145:I1145"/>
    <mergeCell ref="A1147:K1147"/>
    <mergeCell ref="C1132:K1132"/>
    <mergeCell ref="C1134:D1134"/>
    <mergeCell ref="C1136:D1136"/>
    <mergeCell ref="C1138:D1138"/>
    <mergeCell ref="C1140:D1140"/>
    <mergeCell ref="C1125:D1125"/>
    <mergeCell ref="C1126:K1126"/>
    <mergeCell ref="C1128:D1128"/>
    <mergeCell ref="C1129:K1129"/>
    <mergeCell ref="C1131:D1131"/>
    <mergeCell ref="C1117:D1117"/>
    <mergeCell ref="C1118:K1118"/>
    <mergeCell ref="C1120:D1120"/>
    <mergeCell ref="C1121:K1121"/>
    <mergeCell ref="C1124:D1124"/>
    <mergeCell ref="C1107:D1107"/>
    <mergeCell ref="C1109:D1109"/>
    <mergeCell ref="C1111:D1111"/>
    <mergeCell ref="C1113:D1113"/>
    <mergeCell ref="C1115:D1115"/>
    <mergeCell ref="C1097:K1097"/>
    <mergeCell ref="C1099:D1099"/>
    <mergeCell ref="C1101:D1101"/>
    <mergeCell ref="C1103:D1103"/>
    <mergeCell ref="C1105:D1105"/>
    <mergeCell ref="C1089:D1089"/>
    <mergeCell ref="C1090:K1090"/>
    <mergeCell ref="C1092:D1092"/>
    <mergeCell ref="C1093:K1093"/>
    <mergeCell ref="C1096:D1096"/>
    <mergeCell ref="C1081:K1081"/>
    <mergeCell ref="C1083:D1083"/>
    <mergeCell ref="C1084:K1084"/>
    <mergeCell ref="C1086:D1086"/>
    <mergeCell ref="C1087:K1087"/>
    <mergeCell ref="C1074:D1074"/>
    <mergeCell ref="C1075:K1075"/>
    <mergeCell ref="C1077:D1077"/>
    <mergeCell ref="C1079:D1079"/>
    <mergeCell ref="C1080:D1080"/>
    <mergeCell ref="C1065:D1065"/>
    <mergeCell ref="C1067:D1067"/>
    <mergeCell ref="C1069:D1069"/>
    <mergeCell ref="C1071:D1071"/>
    <mergeCell ref="C1072:D1072"/>
    <mergeCell ref="C1055:D1055"/>
    <mergeCell ref="C1057:D1057"/>
    <mergeCell ref="C1059:D1059"/>
    <mergeCell ref="C1061:D1061"/>
    <mergeCell ref="C1063:D1063"/>
    <mergeCell ref="C1047:D1047"/>
    <mergeCell ref="C1048:K1048"/>
    <mergeCell ref="C1050:D1050"/>
    <mergeCell ref="C1052:D1052"/>
    <mergeCell ref="C1053:D1053"/>
    <mergeCell ref="C1039:K1039"/>
    <mergeCell ref="C1041:D1041"/>
    <mergeCell ref="C1042:K1042"/>
    <mergeCell ref="C1044:D1044"/>
    <mergeCell ref="C1045:K1045"/>
    <mergeCell ref="C1032:D1032"/>
    <mergeCell ref="C1033:K1033"/>
    <mergeCell ref="C1035:D1035"/>
    <mergeCell ref="C1036:K1036"/>
    <mergeCell ref="C1038:D1038"/>
    <mergeCell ref="C1023:D1023"/>
    <mergeCell ref="C1025:D1025"/>
    <mergeCell ref="C1027:D1027"/>
    <mergeCell ref="C1029:D1029"/>
    <mergeCell ref="C1030:K1030"/>
    <mergeCell ref="C1013:D1013"/>
    <mergeCell ref="C1014:K1014"/>
    <mergeCell ref="C1016:D1016"/>
    <mergeCell ref="C1018:D1018"/>
    <mergeCell ref="C1021:D1021"/>
    <mergeCell ref="C1005:D1005"/>
    <mergeCell ref="C1007:D1007"/>
    <mergeCell ref="C1008:K1008"/>
    <mergeCell ref="C1010:D1010"/>
    <mergeCell ref="C1011:K1011"/>
    <mergeCell ref="C991:D991"/>
    <mergeCell ref="C998:D998"/>
    <mergeCell ref="C999:D999"/>
    <mergeCell ref="C1001:D1001"/>
    <mergeCell ref="C1002:D1002"/>
    <mergeCell ref="C982:D982"/>
    <mergeCell ref="C984:D984"/>
    <mergeCell ref="C986:D986"/>
    <mergeCell ref="C988:D988"/>
    <mergeCell ref="C989:D989"/>
    <mergeCell ref="C975:D975"/>
    <mergeCell ref="C976:K976"/>
    <mergeCell ref="C978:D978"/>
    <mergeCell ref="C979:D979"/>
    <mergeCell ref="C980:D980"/>
    <mergeCell ref="C965:K965"/>
    <mergeCell ref="C967:D967"/>
    <mergeCell ref="C970:D970"/>
    <mergeCell ref="C971:K971"/>
    <mergeCell ref="C974:D974"/>
    <mergeCell ref="C958:D958"/>
    <mergeCell ref="C959:K959"/>
    <mergeCell ref="C961:D961"/>
    <mergeCell ref="C963:D963"/>
    <mergeCell ref="C964:D964"/>
    <mergeCell ref="C948:D948"/>
    <mergeCell ref="C950:D950"/>
    <mergeCell ref="C952:D952"/>
    <mergeCell ref="C954:D954"/>
    <mergeCell ref="C956:D956"/>
    <mergeCell ref="C937:D937"/>
    <mergeCell ref="C940:D940"/>
    <mergeCell ref="C942:D942"/>
    <mergeCell ref="C944:D944"/>
    <mergeCell ref="C946:D946"/>
    <mergeCell ref="C928:D928"/>
    <mergeCell ref="C930:D930"/>
    <mergeCell ref="C932:D932"/>
    <mergeCell ref="C934:D934"/>
    <mergeCell ref="C936:D936"/>
    <mergeCell ref="C920:D920"/>
    <mergeCell ref="C922:D922"/>
    <mergeCell ref="C924:D924"/>
    <mergeCell ref="C925:D925"/>
    <mergeCell ref="C926:K926"/>
    <mergeCell ref="C908:K908"/>
    <mergeCell ref="C910:D910"/>
    <mergeCell ref="C911:D911"/>
    <mergeCell ref="C912:D912"/>
    <mergeCell ref="C919:D919"/>
    <mergeCell ref="C896:D896"/>
    <mergeCell ref="C897:K897"/>
    <mergeCell ref="C902:D902"/>
    <mergeCell ref="C905:D905"/>
    <mergeCell ref="C907:D907"/>
    <mergeCell ref="C886:K886"/>
    <mergeCell ref="C888:D888"/>
    <mergeCell ref="C889:D889"/>
    <mergeCell ref="C890:D890"/>
    <mergeCell ref="C891:K891"/>
    <mergeCell ref="C880:D880"/>
    <mergeCell ref="C881:D881"/>
    <mergeCell ref="C882:D882"/>
    <mergeCell ref="C883:K883"/>
    <mergeCell ref="C885:D885"/>
    <mergeCell ref="C870:K870"/>
    <mergeCell ref="C872:D872"/>
    <mergeCell ref="C874:D874"/>
    <mergeCell ref="C875:K875"/>
    <mergeCell ref="C877:D877"/>
    <mergeCell ref="C860:K860"/>
    <mergeCell ref="C863:D863"/>
    <mergeCell ref="C866:D866"/>
    <mergeCell ref="C867:K867"/>
    <mergeCell ref="C869:D869"/>
    <mergeCell ref="C854:D854"/>
    <mergeCell ref="C855:K855"/>
    <mergeCell ref="C857:D857"/>
    <mergeCell ref="C858:D858"/>
    <mergeCell ref="C859:D859"/>
    <mergeCell ref="C832:D832"/>
    <mergeCell ref="C839:D839"/>
    <mergeCell ref="C844:D844"/>
    <mergeCell ref="C849:D849"/>
    <mergeCell ref="C851:D851"/>
    <mergeCell ref="C823:D823"/>
    <mergeCell ref="C826:D826"/>
    <mergeCell ref="C827:D827"/>
    <mergeCell ref="C828:D828"/>
    <mergeCell ref="C829:K829"/>
    <mergeCell ref="C810:D810"/>
    <mergeCell ref="C812:D812"/>
    <mergeCell ref="C815:D815"/>
    <mergeCell ref="C818:D818"/>
    <mergeCell ref="C821:D821"/>
    <mergeCell ref="C799:D799"/>
    <mergeCell ref="C801:D801"/>
    <mergeCell ref="C803:D803"/>
    <mergeCell ref="C805:D805"/>
    <mergeCell ref="C807:D807"/>
    <mergeCell ref="C789:D789"/>
    <mergeCell ref="C791:D791"/>
    <mergeCell ref="C793:D793"/>
    <mergeCell ref="C795:D795"/>
    <mergeCell ref="C797:D797"/>
    <mergeCell ref="C779:D779"/>
    <mergeCell ref="C781:D781"/>
    <mergeCell ref="C783:D783"/>
    <mergeCell ref="C785:D785"/>
    <mergeCell ref="C787:D787"/>
    <mergeCell ref="C771:D771"/>
    <mergeCell ref="C772:D772"/>
    <mergeCell ref="C773:D773"/>
    <mergeCell ref="C775:D775"/>
    <mergeCell ref="C777:D777"/>
    <mergeCell ref="C761:D761"/>
    <mergeCell ref="C763:D763"/>
    <mergeCell ref="C765:D765"/>
    <mergeCell ref="C767:D767"/>
    <mergeCell ref="C769:D769"/>
    <mergeCell ref="C752:D752"/>
    <mergeCell ref="C753:D753"/>
    <mergeCell ref="C754:D754"/>
    <mergeCell ref="C756:D756"/>
    <mergeCell ref="C759:D759"/>
    <mergeCell ref="C741:D741"/>
    <mergeCell ref="C743:D743"/>
    <mergeCell ref="C746:D746"/>
    <mergeCell ref="C748:D748"/>
    <mergeCell ref="C750:D750"/>
    <mergeCell ref="C731:D731"/>
    <mergeCell ref="C733:D733"/>
    <mergeCell ref="C735:D735"/>
    <mergeCell ref="C737:D737"/>
    <mergeCell ref="C739:D739"/>
    <mergeCell ref="C723:D723"/>
    <mergeCell ref="C724:D724"/>
    <mergeCell ref="C725:D725"/>
    <mergeCell ref="C727:D727"/>
    <mergeCell ref="C729:D729"/>
    <mergeCell ref="C709:K709"/>
    <mergeCell ref="C712:D712"/>
    <mergeCell ref="C713:D713"/>
    <mergeCell ref="C714:D714"/>
    <mergeCell ref="C720:D720"/>
    <mergeCell ref="C695:D695"/>
    <mergeCell ref="C701:D701"/>
    <mergeCell ref="C704:D704"/>
    <mergeCell ref="C705:K705"/>
    <mergeCell ref="C708:D708"/>
    <mergeCell ref="C683:D683"/>
    <mergeCell ref="C685:D685"/>
    <mergeCell ref="C686:D686"/>
    <mergeCell ref="C687:D687"/>
    <mergeCell ref="C692:D692"/>
    <mergeCell ref="C673:D673"/>
    <mergeCell ref="C675:D675"/>
    <mergeCell ref="C677:D677"/>
    <mergeCell ref="C679:D679"/>
    <mergeCell ref="C681:D681"/>
    <mergeCell ref="C655:K655"/>
    <mergeCell ref="C663:D663"/>
    <mergeCell ref="C664:K664"/>
    <mergeCell ref="C666:D666"/>
    <mergeCell ref="C667:K667"/>
    <mergeCell ref="C648:D648"/>
    <mergeCell ref="C649:D649"/>
    <mergeCell ref="C651:D651"/>
    <mergeCell ref="C652:D652"/>
    <mergeCell ref="C654:D654"/>
    <mergeCell ref="C640:D640"/>
    <mergeCell ref="C641:D641"/>
    <mergeCell ref="C642:D642"/>
    <mergeCell ref="C644:D644"/>
    <mergeCell ref="C646:D646"/>
    <mergeCell ref="C632:D632"/>
    <mergeCell ref="C634:D634"/>
    <mergeCell ref="C635:K635"/>
    <mergeCell ref="C637:D637"/>
    <mergeCell ref="C638:K638"/>
    <mergeCell ref="C625:D625"/>
    <mergeCell ref="C626:D626"/>
    <mergeCell ref="C627:D627"/>
    <mergeCell ref="C629:D629"/>
    <mergeCell ref="C630:D630"/>
    <mergeCell ref="C618:D618"/>
    <mergeCell ref="C620:D620"/>
    <mergeCell ref="C621:D621"/>
    <mergeCell ref="C622:D622"/>
    <mergeCell ref="C623:K623"/>
    <mergeCell ref="C608:D608"/>
    <mergeCell ref="C610:D610"/>
    <mergeCell ref="C612:D612"/>
    <mergeCell ref="C614:D614"/>
    <mergeCell ref="C616:D616"/>
    <mergeCell ref="C601:D601"/>
    <mergeCell ref="C603:D603"/>
    <mergeCell ref="C604:D604"/>
    <mergeCell ref="C605:D605"/>
    <mergeCell ref="C606:K606"/>
    <mergeCell ref="C593:D593"/>
    <mergeCell ref="C595:D595"/>
    <mergeCell ref="C597:D597"/>
    <mergeCell ref="C598:D598"/>
    <mergeCell ref="C599:D599"/>
    <mergeCell ref="C584:D584"/>
    <mergeCell ref="C585:K585"/>
    <mergeCell ref="C587:D587"/>
    <mergeCell ref="C589:D589"/>
    <mergeCell ref="C591:D591"/>
    <mergeCell ref="C576:K576"/>
    <mergeCell ref="C578:D578"/>
    <mergeCell ref="C579:K579"/>
    <mergeCell ref="C581:D581"/>
    <mergeCell ref="C582:K582"/>
    <mergeCell ref="C567:D567"/>
    <mergeCell ref="C569:D569"/>
    <mergeCell ref="C571:D571"/>
    <mergeCell ref="C573:D573"/>
    <mergeCell ref="C575:D575"/>
    <mergeCell ref="C557:D557"/>
    <mergeCell ref="C559:D559"/>
    <mergeCell ref="C561:D561"/>
    <mergeCell ref="C563:D563"/>
    <mergeCell ref="C565:D565"/>
    <mergeCell ref="C549:D549"/>
    <mergeCell ref="C551:D551"/>
    <mergeCell ref="C552:D552"/>
    <mergeCell ref="C553:D553"/>
    <mergeCell ref="C555:D555"/>
    <mergeCell ref="C539:D539"/>
    <mergeCell ref="C541:D541"/>
    <mergeCell ref="C543:D543"/>
    <mergeCell ref="C545:D545"/>
    <mergeCell ref="C547:D547"/>
    <mergeCell ref="C529:D529"/>
    <mergeCell ref="C531:D531"/>
    <mergeCell ref="C533:D533"/>
    <mergeCell ref="C535:D535"/>
    <mergeCell ref="C537:D537"/>
    <mergeCell ref="C521:K521"/>
    <mergeCell ref="C523:D523"/>
    <mergeCell ref="C524:K524"/>
    <mergeCell ref="C526:D526"/>
    <mergeCell ref="C527:K527"/>
    <mergeCell ref="C514:D514"/>
    <mergeCell ref="C515:K515"/>
    <mergeCell ref="C517:D517"/>
    <mergeCell ref="C518:K518"/>
    <mergeCell ref="C520:D520"/>
    <mergeCell ref="C507:D507"/>
    <mergeCell ref="C508:D508"/>
    <mergeCell ref="C509:K509"/>
    <mergeCell ref="C511:D511"/>
    <mergeCell ref="C512:K512"/>
    <mergeCell ref="C498:D498"/>
    <mergeCell ref="C500:D500"/>
    <mergeCell ref="C502:D502"/>
    <mergeCell ref="C504:D504"/>
    <mergeCell ref="C506:D506"/>
    <mergeCell ref="C488:K488"/>
    <mergeCell ref="C490:D490"/>
    <mergeCell ref="C492:D492"/>
    <mergeCell ref="C494:D494"/>
    <mergeCell ref="C496:D496"/>
    <mergeCell ref="C481:D481"/>
    <mergeCell ref="C482:K482"/>
    <mergeCell ref="C484:D484"/>
    <mergeCell ref="C485:K485"/>
    <mergeCell ref="C487:D487"/>
    <mergeCell ref="C469:D469"/>
    <mergeCell ref="C471:D471"/>
    <mergeCell ref="C474:D474"/>
    <mergeCell ref="C476:D476"/>
    <mergeCell ref="C479:D479"/>
    <mergeCell ref="C461:D461"/>
    <mergeCell ref="C464:D464"/>
    <mergeCell ref="C465:K465"/>
    <mergeCell ref="C467:D467"/>
    <mergeCell ref="C468:D468"/>
    <mergeCell ref="C446:D446"/>
    <mergeCell ref="C449:D449"/>
    <mergeCell ref="C450:K450"/>
    <mergeCell ref="C458:D458"/>
    <mergeCell ref="C459:K459"/>
    <mergeCell ref="C428:K428"/>
    <mergeCell ref="C430:D430"/>
    <mergeCell ref="C433:D433"/>
    <mergeCell ref="C434:K434"/>
    <mergeCell ref="C443:D443"/>
    <mergeCell ref="C420:D420"/>
    <mergeCell ref="C421:D421"/>
    <mergeCell ref="C422:D422"/>
    <mergeCell ref="C424:D424"/>
    <mergeCell ref="C427:D427"/>
    <mergeCell ref="C410:D410"/>
    <mergeCell ref="C411:K411"/>
    <mergeCell ref="C414:D414"/>
    <mergeCell ref="C415:K415"/>
    <mergeCell ref="C418:D418"/>
    <mergeCell ref="C403:K403"/>
    <mergeCell ref="C405:D405"/>
    <mergeCell ref="C406:K406"/>
    <mergeCell ref="C408:D408"/>
    <mergeCell ref="C409:D409"/>
    <mergeCell ref="C395:D395"/>
    <mergeCell ref="C397:D397"/>
    <mergeCell ref="C398:D398"/>
    <mergeCell ref="C401:D401"/>
    <mergeCell ref="C402:D402"/>
    <mergeCell ref="C381:D381"/>
    <mergeCell ref="C382:D382"/>
    <mergeCell ref="C383:K383"/>
    <mergeCell ref="C390:D390"/>
    <mergeCell ref="C391:K391"/>
    <mergeCell ref="C337:D337"/>
    <mergeCell ref="C340:D340"/>
    <mergeCell ref="C341:D341"/>
    <mergeCell ref="C370:D370"/>
    <mergeCell ref="C379:D379"/>
    <mergeCell ref="C329:K329"/>
    <mergeCell ref="C331:D331"/>
    <mergeCell ref="C332:D332"/>
    <mergeCell ref="C334:D334"/>
    <mergeCell ref="C335:D335"/>
    <mergeCell ref="C308:D308"/>
    <mergeCell ref="C313:D313"/>
    <mergeCell ref="C318:D318"/>
    <mergeCell ref="C323:D323"/>
    <mergeCell ref="C328:D328"/>
    <mergeCell ref="C299:K299"/>
    <mergeCell ref="C302:D302"/>
    <mergeCell ref="C303:K303"/>
    <mergeCell ref="C305:D305"/>
    <mergeCell ref="C306:K306"/>
    <mergeCell ref="C288:D288"/>
    <mergeCell ref="C290:D290"/>
    <mergeCell ref="C293:D293"/>
    <mergeCell ref="C295:D295"/>
    <mergeCell ref="C298:D298"/>
    <mergeCell ref="C276:D276"/>
    <mergeCell ref="C277:K277"/>
    <mergeCell ref="C279:D279"/>
    <mergeCell ref="C284:D284"/>
    <mergeCell ref="C285:D285"/>
    <mergeCell ref="C263:D263"/>
    <mergeCell ref="C264:K264"/>
    <mergeCell ref="C271:D271"/>
    <mergeCell ref="C272:K272"/>
    <mergeCell ref="C274:D274"/>
    <mergeCell ref="C250:D250"/>
    <mergeCell ref="C252:D252"/>
    <mergeCell ref="C254:D254"/>
    <mergeCell ref="C255:D255"/>
    <mergeCell ref="C259:D259"/>
    <mergeCell ref="C240:D240"/>
    <mergeCell ref="C242:D242"/>
    <mergeCell ref="C244:D244"/>
    <mergeCell ref="C246:D246"/>
    <mergeCell ref="C248:D248"/>
    <mergeCell ref="C231:D231"/>
    <mergeCell ref="C233:D233"/>
    <mergeCell ref="C235:D235"/>
    <mergeCell ref="C237:D237"/>
    <mergeCell ref="C239:D239"/>
    <mergeCell ref="C219:D219"/>
    <mergeCell ref="C222:D222"/>
    <mergeCell ref="C224:D224"/>
    <mergeCell ref="C227:D227"/>
    <mergeCell ref="C229:D229"/>
    <mergeCell ref="C205:D205"/>
    <mergeCell ref="C207:D207"/>
    <mergeCell ref="C209:D209"/>
    <mergeCell ref="C213:D213"/>
    <mergeCell ref="C216:D216"/>
    <mergeCell ref="C183:D183"/>
    <mergeCell ref="C185:D185"/>
    <mergeCell ref="C186:D186"/>
    <mergeCell ref="C189:D189"/>
    <mergeCell ref="C203:D203"/>
    <mergeCell ref="C171:D171"/>
    <mergeCell ref="C173:D173"/>
    <mergeCell ref="C176:D176"/>
    <mergeCell ref="C179:D179"/>
    <mergeCell ref="C181:D181"/>
    <mergeCell ref="C162:D162"/>
    <mergeCell ref="C164:D164"/>
    <mergeCell ref="C166:D166"/>
    <mergeCell ref="C168:D168"/>
    <mergeCell ref="C169:K169"/>
    <mergeCell ref="C153:D153"/>
    <mergeCell ref="C154:K154"/>
    <mergeCell ref="C156:D156"/>
    <mergeCell ref="C157:K157"/>
    <mergeCell ref="C159:D159"/>
    <mergeCell ref="C143:D143"/>
    <mergeCell ref="C145:D145"/>
    <mergeCell ref="C146:D146"/>
    <mergeCell ref="C149:D149"/>
    <mergeCell ref="C151:D151"/>
    <mergeCell ref="C132:D132"/>
    <mergeCell ref="C134:D134"/>
    <mergeCell ref="C136:D136"/>
    <mergeCell ref="C139:D139"/>
    <mergeCell ref="C141:D141"/>
    <mergeCell ref="C120:D120"/>
    <mergeCell ref="C122:D122"/>
    <mergeCell ref="C124:D124"/>
    <mergeCell ref="C127:D127"/>
    <mergeCell ref="C129:D129"/>
    <mergeCell ref="C109:D109"/>
    <mergeCell ref="C110:K110"/>
    <mergeCell ref="C113:D113"/>
    <mergeCell ref="C115:D115"/>
    <mergeCell ref="C118:D118"/>
    <mergeCell ref="C97:D97"/>
    <mergeCell ref="C103:D103"/>
    <mergeCell ref="C104:D104"/>
    <mergeCell ref="C106:D106"/>
    <mergeCell ref="C108:D108"/>
    <mergeCell ref="C76:D76"/>
    <mergeCell ref="C77:D77"/>
    <mergeCell ref="C87:D87"/>
    <mergeCell ref="C90:D90"/>
    <mergeCell ref="C91:K91"/>
    <mergeCell ref="C50:D50"/>
    <mergeCell ref="C54:D54"/>
    <mergeCell ref="C55:D55"/>
    <mergeCell ref="C72:D72"/>
    <mergeCell ref="C74:D74"/>
    <mergeCell ref="C25:D25"/>
    <mergeCell ref="C36:D36"/>
    <mergeCell ref="C38:D38"/>
    <mergeCell ref="C42:D42"/>
    <mergeCell ref="C46:D46"/>
    <mergeCell ref="C11:D11"/>
    <mergeCell ref="H10:J10"/>
    <mergeCell ref="C12:D12"/>
    <mergeCell ref="C13:D13"/>
    <mergeCell ref="C14:D14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Jana Motalová</cp:lastModifiedBy>
  <dcterms:created xsi:type="dcterms:W3CDTF">2021-06-10T20:06:38Z</dcterms:created>
  <dcterms:modified xsi:type="dcterms:W3CDTF">2025-05-08T15:50:18Z</dcterms:modified>
</cp:coreProperties>
</file>